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uclouvain.sharepoint.com/sites/O365G-TFE33/Documents partages/General/PF/"/>
    </mc:Choice>
  </mc:AlternateContent>
  <xr:revisionPtr revIDLastSave="354" documentId="13_ncr:1_{35199999-2CAF-4E6A-B5B2-34236BB55810}" xr6:coauthVersionLast="47" xr6:coauthVersionMax="47" xr10:uidLastSave="{0ACBD131-95B7-44D3-94A8-42B7193574CB}"/>
  <bookViews>
    <workbookView xWindow="-107" yWindow="-107" windowWidth="20847" windowHeight="11208" xr2:uid="{8BD2D908-3C18-4B49-A87C-2F0D92687A80}"/>
  </bookViews>
  <sheets>
    <sheet name="Résultat" sheetId="1" r:id="rId1"/>
    <sheet name="Trésorerie" sheetId="5" r:id="rId2"/>
    <sheet name="Bilan" sheetId="2" r:id="rId3"/>
    <sheet name="Plan financier" sheetId="7" r:id="rId4"/>
    <sheet name="FR, BFR, T" sheetId="8" r:id="rId5"/>
    <sheet name="Break even point" sheetId="9" r:id="rId6"/>
    <sheet name="Invest initial" sheetId="3" r:id="rId7"/>
    <sheet name="Emprunt fin"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9" l="1"/>
  <c r="A16" i="9" s="1"/>
  <c r="C3" i="9"/>
  <c r="C12" i="9"/>
  <c r="I20" i="1"/>
  <c r="I15" i="1"/>
  <c r="H4" i="1"/>
  <c r="I4" i="1" s="1"/>
  <c r="H6" i="1" l="1"/>
  <c r="I6" i="1"/>
  <c r="D25" i="1"/>
  <c r="D21" i="1"/>
  <c r="D16" i="1"/>
  <c r="H181" i="5"/>
  <c r="H126" i="5"/>
  <c r="S94" i="5"/>
  <c r="G73" i="2" s="1"/>
  <c r="S82" i="5"/>
  <c r="T82" i="5"/>
  <c r="S83" i="5"/>
  <c r="T83" i="5"/>
  <c r="S84" i="5"/>
  <c r="T84" i="5"/>
  <c r="S85" i="5"/>
  <c r="T85" i="5"/>
  <c r="S86" i="5"/>
  <c r="T86" i="5"/>
  <c r="S87" i="5"/>
  <c r="T87" i="5"/>
  <c r="S88" i="5"/>
  <c r="T88" i="5"/>
  <c r="S89" i="5"/>
  <c r="T89" i="5"/>
  <c r="S90" i="5"/>
  <c r="T90" i="5"/>
  <c r="S91" i="5"/>
  <c r="T91" i="5"/>
  <c r="S92" i="5"/>
  <c r="T92" i="5"/>
  <c r="S81" i="5"/>
  <c r="T81" i="5"/>
  <c r="U58" i="5"/>
  <c r="U59" i="5" s="1"/>
  <c r="U60" i="5" s="1"/>
  <c r="U10" i="5"/>
  <c r="W11" i="5" s="1"/>
  <c r="U11" i="5"/>
  <c r="S11" i="5" s="1"/>
  <c r="T11" i="5" s="1"/>
  <c r="U12" i="5"/>
  <c r="W13" i="5" s="1"/>
  <c r="U13" i="5"/>
  <c r="S13" i="5" s="1"/>
  <c r="T13" i="5" s="1"/>
  <c r="U14" i="5"/>
  <c r="W15" i="5" s="1"/>
  <c r="U15" i="5"/>
  <c r="S15" i="5" s="1"/>
  <c r="T15" i="5" s="1"/>
  <c r="U16" i="5"/>
  <c r="W17" i="5" s="1"/>
  <c r="U17" i="5"/>
  <c r="S17" i="5" s="1"/>
  <c r="T17" i="5" s="1"/>
  <c r="U18" i="5"/>
  <c r="S18" i="5" s="1"/>
  <c r="T18" i="5" s="1"/>
  <c r="U19" i="5"/>
  <c r="S19" i="5" s="1"/>
  <c r="T19" i="5" s="1"/>
  <c r="U20" i="5"/>
  <c r="W21" i="5" s="1"/>
  <c r="B74" i="2" s="1"/>
  <c r="D74" i="2" s="1"/>
  <c r="U9" i="5"/>
  <c r="W10" i="5" s="1"/>
  <c r="D178" i="5" s="1"/>
  <c r="T60" i="5"/>
  <c r="X60" i="5" s="1"/>
  <c r="E184" i="5" s="1"/>
  <c r="H184" i="5" s="1"/>
  <c r="K184" i="5" s="1"/>
  <c r="N184" i="5" s="1"/>
  <c r="W19" i="5"/>
  <c r="H162" i="5"/>
  <c r="H169" i="5"/>
  <c r="N168" i="5"/>
  <c r="M168" i="5"/>
  <c r="K168" i="5"/>
  <c r="J168" i="5"/>
  <c r="H117" i="5"/>
  <c r="K94" i="5"/>
  <c r="G46" i="2" s="1"/>
  <c r="K82" i="5"/>
  <c r="L82" i="5"/>
  <c r="K83" i="5"/>
  <c r="L83" i="5"/>
  <c r="K84" i="5"/>
  <c r="L84" i="5"/>
  <c r="K85" i="5"/>
  <c r="L85" i="5"/>
  <c r="K86" i="5"/>
  <c r="L86" i="5"/>
  <c r="K87" i="5"/>
  <c r="L87" i="5"/>
  <c r="K88" i="5"/>
  <c r="L88" i="5"/>
  <c r="K89" i="5"/>
  <c r="L89" i="5"/>
  <c r="K90" i="5"/>
  <c r="L90" i="5"/>
  <c r="K91" i="5"/>
  <c r="L91" i="5"/>
  <c r="K92" i="5"/>
  <c r="L92" i="5"/>
  <c r="L81" i="5"/>
  <c r="K81" i="5"/>
  <c r="C166" i="5" s="1"/>
  <c r="D166" i="5" s="1"/>
  <c r="E166" i="5" s="1"/>
  <c r="F166" i="5" s="1"/>
  <c r="G166" i="5" s="1"/>
  <c r="H166" i="5" s="1"/>
  <c r="I166" i="5" s="1"/>
  <c r="J166" i="5" s="1"/>
  <c r="K166" i="5" s="1"/>
  <c r="L166" i="5" s="1"/>
  <c r="M166" i="5" s="1"/>
  <c r="N166" i="5" s="1"/>
  <c r="M58" i="5"/>
  <c r="C164" i="5" s="1"/>
  <c r="D164" i="5" s="1"/>
  <c r="E164" i="5" s="1"/>
  <c r="F164" i="5" s="1"/>
  <c r="G164" i="5" s="1"/>
  <c r="H164" i="5" s="1"/>
  <c r="I164" i="5" s="1"/>
  <c r="J164" i="5" s="1"/>
  <c r="K164" i="5" s="1"/>
  <c r="L164" i="5" s="1"/>
  <c r="M164" i="5" s="1"/>
  <c r="N164" i="5" s="1"/>
  <c r="M10" i="5"/>
  <c r="O11" i="5" s="1"/>
  <c r="M11" i="5"/>
  <c r="O12" i="5" s="1"/>
  <c r="M12" i="5"/>
  <c r="O13" i="5" s="1"/>
  <c r="M13" i="5"/>
  <c r="O14" i="5" s="1"/>
  <c r="M14" i="5"/>
  <c r="K14" i="5" s="1"/>
  <c r="L14" i="5" s="1"/>
  <c r="M15" i="5"/>
  <c r="O16" i="5" s="1"/>
  <c r="M16" i="5"/>
  <c r="K16" i="5" s="1"/>
  <c r="L16" i="5" s="1"/>
  <c r="M17" i="5"/>
  <c r="K17" i="5" s="1"/>
  <c r="L17" i="5" s="1"/>
  <c r="M18" i="5"/>
  <c r="O19" i="5" s="1"/>
  <c r="M19" i="5"/>
  <c r="K19" i="5" s="1"/>
  <c r="L19" i="5" s="1"/>
  <c r="M20" i="5"/>
  <c r="K20" i="5" s="1"/>
  <c r="L20" i="5" s="1"/>
  <c r="M9" i="5"/>
  <c r="L60" i="5"/>
  <c r="L63" i="5" s="1"/>
  <c r="H144" i="5"/>
  <c r="G15" i="2"/>
  <c r="G41" i="2" s="1"/>
  <c r="G68" i="2" s="1"/>
  <c r="E58" i="5"/>
  <c r="G58" i="5" s="1"/>
  <c r="H151" i="5"/>
  <c r="B9" i="7"/>
  <c r="C142" i="5"/>
  <c r="C140" i="5" s="1"/>
  <c r="C139" i="5"/>
  <c r="B10" i="7" s="1"/>
  <c r="H107" i="5"/>
  <c r="D140" i="5"/>
  <c r="E140" i="5"/>
  <c r="F140" i="5"/>
  <c r="G140" i="5"/>
  <c r="H140" i="5"/>
  <c r="I140" i="5"/>
  <c r="J150" i="5"/>
  <c r="K150" i="5"/>
  <c r="M150" i="5"/>
  <c r="N150" i="5"/>
  <c r="P150" i="5"/>
  <c r="Q150" i="5"/>
  <c r="S150" i="5"/>
  <c r="T150" i="5"/>
  <c r="C82" i="5"/>
  <c r="C83" i="5"/>
  <c r="C84" i="5"/>
  <c r="C85" i="5"/>
  <c r="C86" i="5"/>
  <c r="C87" i="5"/>
  <c r="C88" i="5"/>
  <c r="C89" i="5"/>
  <c r="C90" i="5"/>
  <c r="C91" i="5"/>
  <c r="C92" i="5"/>
  <c r="C93" i="5"/>
  <c r="C94" i="5"/>
  <c r="C95" i="5"/>
  <c r="C96" i="5"/>
  <c r="C97" i="5"/>
  <c r="C98" i="5"/>
  <c r="C81" i="5"/>
  <c r="D82" i="5"/>
  <c r="D83" i="5"/>
  <c r="D84" i="5"/>
  <c r="D85" i="5"/>
  <c r="D86" i="5"/>
  <c r="D87" i="5"/>
  <c r="D88" i="5"/>
  <c r="D89" i="5"/>
  <c r="D90" i="5"/>
  <c r="D91" i="5"/>
  <c r="D92" i="5"/>
  <c r="D93" i="5"/>
  <c r="D94" i="5"/>
  <c r="D95" i="5"/>
  <c r="D96" i="5"/>
  <c r="D97" i="5"/>
  <c r="D98" i="5"/>
  <c r="D81" i="5"/>
  <c r="G21" i="5"/>
  <c r="D60" i="5"/>
  <c r="D63" i="5" s="1"/>
  <c r="C20" i="5"/>
  <c r="D20" i="5" s="1"/>
  <c r="E21" i="5"/>
  <c r="C21" i="5" s="1"/>
  <c r="D21" i="5" s="1"/>
  <c r="E19" i="5"/>
  <c r="C19" i="5" s="1"/>
  <c r="D19" i="5" s="1"/>
  <c r="M106" i="5" s="1"/>
  <c r="E18" i="5"/>
  <c r="G19" i="5" s="1"/>
  <c r="M141" i="5" s="1"/>
  <c r="M140" i="5" s="1"/>
  <c r="E17" i="5"/>
  <c r="C17" i="5" s="1"/>
  <c r="D17" i="5" s="1"/>
  <c r="K106" i="5" s="1"/>
  <c r="E16" i="5"/>
  <c r="C16" i="5" s="1"/>
  <c r="E15" i="5"/>
  <c r="C15" i="5" s="1"/>
  <c r="D15" i="5" s="1"/>
  <c r="I106" i="5" s="1"/>
  <c r="O3" i="5"/>
  <c r="P3" i="5" s="1"/>
  <c r="Q3" i="5" s="1"/>
  <c r="R3" i="5" s="1"/>
  <c r="S3" i="5" s="1"/>
  <c r="T3" i="5" s="1"/>
  <c r="U3" i="5" s="1"/>
  <c r="D33" i="1"/>
  <c r="H188" i="5" s="1"/>
  <c r="D28" i="1"/>
  <c r="D22" i="1"/>
  <c r="D20" i="1"/>
  <c r="D15" i="1"/>
  <c r="C23" i="1"/>
  <c r="D23" i="1" s="1"/>
  <c r="B23" i="1"/>
  <c r="C19" i="1"/>
  <c r="D19" i="1" s="1"/>
  <c r="C18" i="1"/>
  <c r="D18" i="1" s="1"/>
  <c r="C17" i="1"/>
  <c r="C4" i="1"/>
  <c r="D4" i="1" s="1"/>
  <c r="D8" i="1" s="1"/>
  <c r="S58" i="5" l="1"/>
  <c r="O17" i="5"/>
  <c r="S12" i="5"/>
  <c r="T12" i="5" s="1"/>
  <c r="C185" i="5"/>
  <c r="D185" i="5" s="1"/>
  <c r="E185" i="5" s="1"/>
  <c r="F185" i="5" s="1"/>
  <c r="G185" i="5" s="1"/>
  <c r="H185" i="5" s="1"/>
  <c r="I185" i="5" s="1"/>
  <c r="J185" i="5" s="1"/>
  <c r="K185" i="5" s="1"/>
  <c r="L185" i="5" s="1"/>
  <c r="M185" i="5" s="1"/>
  <c r="N185" i="5" s="1"/>
  <c r="S10" i="5"/>
  <c r="T10" i="5" s="1"/>
  <c r="T63" i="5"/>
  <c r="T66" i="5" s="1"/>
  <c r="T69" i="5" s="1"/>
  <c r="X69" i="5" s="1"/>
  <c r="P60" i="5"/>
  <c r="W58" i="5"/>
  <c r="C183" i="5" s="1"/>
  <c r="D183" i="5" s="1"/>
  <c r="S16" i="5"/>
  <c r="T16" i="5" s="1"/>
  <c r="H13" i="1"/>
  <c r="D17" i="1"/>
  <c r="I13" i="1" s="1"/>
  <c r="K33" i="5"/>
  <c r="K34" i="5" s="1"/>
  <c r="M34" i="5" s="1"/>
  <c r="O35" i="5" s="1"/>
  <c r="D177" i="5"/>
  <c r="E178" i="5"/>
  <c r="F178" i="5" s="1"/>
  <c r="G178" i="5" s="1"/>
  <c r="S20" i="5"/>
  <c r="T20" i="5" s="1"/>
  <c r="S14" i="5"/>
  <c r="T14" i="5" s="1"/>
  <c r="L93" i="5"/>
  <c r="C8" i="1"/>
  <c r="S33" i="5"/>
  <c r="S34" i="5" s="1"/>
  <c r="T34" i="5" s="1"/>
  <c r="E165" i="5"/>
  <c r="H165" i="5" s="1"/>
  <c r="K165" i="5" s="1"/>
  <c r="N165" i="5" s="1"/>
  <c r="T93" i="5"/>
  <c r="S93" i="5"/>
  <c r="W60" i="5"/>
  <c r="S60" i="5"/>
  <c r="U61" i="5"/>
  <c r="S9" i="5"/>
  <c r="U21" i="5"/>
  <c r="S59" i="5"/>
  <c r="W59" i="5"/>
  <c r="W12" i="5"/>
  <c r="W14" i="5"/>
  <c r="W16" i="5"/>
  <c r="W18" i="5"/>
  <c r="W20" i="5"/>
  <c r="K13" i="5"/>
  <c r="L13" i="5" s="1"/>
  <c r="K11" i="5"/>
  <c r="L11" i="5" s="1"/>
  <c r="K10" i="5"/>
  <c r="L10" i="5" s="1"/>
  <c r="K93" i="5"/>
  <c r="M21" i="5"/>
  <c r="O10" i="5"/>
  <c r="D159" i="5" s="1"/>
  <c r="O58" i="5"/>
  <c r="M59" i="5"/>
  <c r="K59" i="5" s="1"/>
  <c r="K12" i="5"/>
  <c r="L12" i="5" s="1"/>
  <c r="K9" i="5"/>
  <c r="O15" i="5"/>
  <c r="O21" i="5"/>
  <c r="K18" i="5"/>
  <c r="L18" i="5" s="1"/>
  <c r="P63" i="5"/>
  <c r="L66" i="5"/>
  <c r="O20" i="5"/>
  <c r="K58" i="5"/>
  <c r="O18" i="5"/>
  <c r="K15" i="5"/>
  <c r="C148" i="5"/>
  <c r="C58" i="5"/>
  <c r="E59" i="5"/>
  <c r="C59" i="5" s="1"/>
  <c r="O148" i="5"/>
  <c r="G148" i="5"/>
  <c r="G22" i="5"/>
  <c r="T148" i="5"/>
  <c r="D148" i="5"/>
  <c r="S148" i="5"/>
  <c r="K148" i="5"/>
  <c r="R148" i="5"/>
  <c r="J148" i="5"/>
  <c r="Q148" i="5"/>
  <c r="I148" i="5"/>
  <c r="N148" i="5"/>
  <c r="F148" i="5"/>
  <c r="P148" i="5"/>
  <c r="H148" i="5"/>
  <c r="L148" i="5"/>
  <c r="M148" i="5"/>
  <c r="E148" i="5"/>
  <c r="N106" i="5"/>
  <c r="D66" i="5"/>
  <c r="H63" i="5"/>
  <c r="H147" i="5" s="1"/>
  <c r="G16" i="5"/>
  <c r="J141" i="5" s="1"/>
  <c r="J140" i="5" s="1"/>
  <c r="G20" i="5"/>
  <c r="N141" i="5" s="1"/>
  <c r="H60" i="5"/>
  <c r="E147" i="5" s="1"/>
  <c r="G18" i="5"/>
  <c r="L141" i="5" s="1"/>
  <c r="L140" i="5" s="1"/>
  <c r="G17" i="5"/>
  <c r="K141" i="5" s="1"/>
  <c r="K140" i="5" s="1"/>
  <c r="D16" i="5"/>
  <c r="J106" i="5" s="1"/>
  <c r="C18" i="5"/>
  <c r="D18" i="5" s="1"/>
  <c r="L106" i="5" s="1"/>
  <c r="E22" i="5"/>
  <c r="G23" i="5" s="1"/>
  <c r="B19" i="4"/>
  <c r="H18" i="4"/>
  <c r="G12" i="4"/>
  <c r="B12" i="4"/>
  <c r="C12" i="4" s="1"/>
  <c r="D19" i="4" s="1"/>
  <c r="E19" i="4" s="1"/>
  <c r="B4" i="4"/>
  <c r="B5" i="4" s="1"/>
  <c r="B25" i="1"/>
  <c r="B17" i="1"/>
  <c r="T5" i="3"/>
  <c r="E20" i="3"/>
  <c r="E9" i="3"/>
  <c r="E8" i="3"/>
  <c r="E7" i="3"/>
  <c r="E6" i="3"/>
  <c r="E5" i="3"/>
  <c r="E4" i="3"/>
  <c r="E3" i="3"/>
  <c r="X63" i="5" l="1"/>
  <c r="F177" i="5"/>
  <c r="X66" i="5"/>
  <c r="T70" i="5"/>
  <c r="E177" i="5"/>
  <c r="C149" i="5"/>
  <c r="K181" i="5"/>
  <c r="K126" i="5" s="1"/>
  <c r="B73" i="2" a="1"/>
  <c r="B73" i="2" s="1"/>
  <c r="D73" i="2" s="1"/>
  <c r="B2" i="7"/>
  <c r="B16" i="2"/>
  <c r="B42" i="2" s="1"/>
  <c r="B69" i="2" s="1"/>
  <c r="D12" i="1" a="1"/>
  <c r="D12" i="1" s="1"/>
  <c r="U5" i="3"/>
  <c r="V5" i="3" s="1"/>
  <c r="W5" i="3" s="1"/>
  <c r="X5" i="3" s="1"/>
  <c r="Y5" i="3" s="1"/>
  <c r="Z5" i="3" s="1"/>
  <c r="B3" i="9"/>
  <c r="G4" i="1"/>
  <c r="G6" i="1" s="1"/>
  <c r="G13" i="1"/>
  <c r="C33" i="5"/>
  <c r="E33" i="5" s="1"/>
  <c r="G34" i="5" s="1"/>
  <c r="D145" i="5" s="1"/>
  <c r="E145" i="5" s="1"/>
  <c r="K35" i="5"/>
  <c r="K36" i="5" s="1"/>
  <c r="L34" i="5"/>
  <c r="M33" i="5"/>
  <c r="O34" i="5" s="1"/>
  <c r="D163" i="5" s="1"/>
  <c r="L33" i="5"/>
  <c r="C118" i="5" s="1"/>
  <c r="D118" i="5" s="1"/>
  <c r="E118" i="5" s="1"/>
  <c r="F118" i="5" s="1"/>
  <c r="G118" i="5" s="1"/>
  <c r="H118" i="5" s="1"/>
  <c r="I118" i="5" s="1"/>
  <c r="J118" i="5" s="1"/>
  <c r="K118" i="5" s="1"/>
  <c r="L118" i="5" s="1"/>
  <c r="M118" i="5" s="1"/>
  <c r="N118" i="5" s="1"/>
  <c r="B47" i="2"/>
  <c r="D47" i="2" s="1"/>
  <c r="C178" i="5"/>
  <c r="C177" i="5" s="1"/>
  <c r="U33" i="5"/>
  <c r="W34" i="5" s="1"/>
  <c r="D182" i="5" s="1"/>
  <c r="E182" i="5" s="1"/>
  <c r="F182" i="5" s="1"/>
  <c r="G182" i="5" s="1"/>
  <c r="U34" i="5"/>
  <c r="W35" i="5" s="1"/>
  <c r="S35" i="5"/>
  <c r="S36" i="5" s="1"/>
  <c r="T33" i="5"/>
  <c r="C127" i="5" s="1"/>
  <c r="E183" i="5"/>
  <c r="H178" i="5"/>
  <c r="G177" i="5"/>
  <c r="E159" i="5"/>
  <c r="D158" i="5"/>
  <c r="S21" i="5"/>
  <c r="T9" i="5"/>
  <c r="U62" i="5"/>
  <c r="S61" i="5"/>
  <c r="W61" i="5"/>
  <c r="M60" i="5"/>
  <c r="K60" i="5" s="1"/>
  <c r="O59" i="5"/>
  <c r="L9" i="5"/>
  <c r="C116" i="5" s="1"/>
  <c r="D116" i="5" s="1"/>
  <c r="E116" i="5" s="1"/>
  <c r="F116" i="5" s="1"/>
  <c r="G116" i="5" s="1"/>
  <c r="H116" i="5" s="1"/>
  <c r="I116" i="5" s="1"/>
  <c r="J116" i="5" s="1"/>
  <c r="K116" i="5" s="1"/>
  <c r="L116" i="5" s="1"/>
  <c r="M116" i="5" s="1"/>
  <c r="N116" i="5" s="1"/>
  <c r="K21" i="5"/>
  <c r="L69" i="5"/>
  <c r="L70" i="5" s="1"/>
  <c r="C29" i="1" s="1"/>
  <c r="H16" i="1" s="1"/>
  <c r="P66" i="5"/>
  <c r="L15" i="5"/>
  <c r="E60" i="5"/>
  <c r="G60" i="5" s="1"/>
  <c r="G59" i="5"/>
  <c r="D146" i="5" s="1"/>
  <c r="E146" i="5" s="1"/>
  <c r="F146" i="5" s="1"/>
  <c r="G146" i="5" s="1"/>
  <c r="H146" i="5" s="1"/>
  <c r="I146" i="5" s="1"/>
  <c r="J146" i="5" s="1"/>
  <c r="K146" i="5" s="1"/>
  <c r="L146" i="5" s="1"/>
  <c r="M146" i="5" s="1"/>
  <c r="N146" i="5" s="1"/>
  <c r="O146" i="5" s="1"/>
  <c r="P146" i="5" s="1"/>
  <c r="Q146" i="5" s="1"/>
  <c r="R146" i="5" s="1"/>
  <c r="S146" i="5" s="1"/>
  <c r="T146" i="5" s="1"/>
  <c r="D72" i="5"/>
  <c r="D69" i="5"/>
  <c r="H66" i="5"/>
  <c r="K147" i="5" s="1"/>
  <c r="D75" i="5"/>
  <c r="O106" i="5"/>
  <c r="O141" i="5"/>
  <c r="N140" i="5"/>
  <c r="B4" i="1"/>
  <c r="E11" i="3"/>
  <c r="C109" i="5" s="1"/>
  <c r="J11" i="3"/>
  <c r="J15" i="3" s="1"/>
  <c r="C22" i="5"/>
  <c r="D22" i="5" s="1"/>
  <c r="E23" i="5"/>
  <c r="G24" i="5" s="1"/>
  <c r="B6" i="4"/>
  <c r="C19" i="4"/>
  <c r="F19" i="4" s="1"/>
  <c r="G19" i="4" s="1"/>
  <c r="H19" i="4" s="1"/>
  <c r="A7" i="9" l="1"/>
  <c r="I10" i="1"/>
  <c r="I11" i="1" s="1"/>
  <c r="D13" i="1"/>
  <c r="D33" i="5"/>
  <c r="C108" i="5" s="1"/>
  <c r="D108" i="5" s="1"/>
  <c r="D110" i="5" s="1"/>
  <c r="C34" i="5"/>
  <c r="E34" i="5" s="1"/>
  <c r="G35" i="5" s="1"/>
  <c r="D29" i="1"/>
  <c r="I16" i="1" s="1"/>
  <c r="M35" i="5"/>
  <c r="O36" i="5" s="1"/>
  <c r="L35" i="5"/>
  <c r="T21" i="5"/>
  <c r="C125" i="5"/>
  <c r="D125" i="5" s="1"/>
  <c r="E125" i="5" s="1"/>
  <c r="T35" i="5"/>
  <c r="M61" i="5"/>
  <c r="M62" i="5" s="1"/>
  <c r="U35" i="5"/>
  <c r="W36" i="5" s="1"/>
  <c r="D180" i="5"/>
  <c r="H177" i="5"/>
  <c r="I178" i="5"/>
  <c r="H182" i="5"/>
  <c r="F183" i="5"/>
  <c r="E163" i="5"/>
  <c r="D161" i="5"/>
  <c r="O60" i="5"/>
  <c r="E158" i="5"/>
  <c r="F159" i="5"/>
  <c r="T36" i="5"/>
  <c r="U36" i="5"/>
  <c r="W37" i="5" s="1"/>
  <c r="S37" i="5"/>
  <c r="W62" i="5"/>
  <c r="S62" i="5"/>
  <c r="U63" i="5"/>
  <c r="L21" i="5"/>
  <c r="P69" i="5"/>
  <c r="M36" i="5"/>
  <c r="O37" i="5" s="1"/>
  <c r="L36" i="5"/>
  <c r="K37" i="5"/>
  <c r="E61" i="5"/>
  <c r="C61" i="5" s="1"/>
  <c r="C60" i="5"/>
  <c r="C146" i="5"/>
  <c r="C143" i="5" s="1"/>
  <c r="C152" i="5" s="1"/>
  <c r="D139" i="5" s="1"/>
  <c r="D143" i="5"/>
  <c r="E13" i="3"/>
  <c r="E22" i="3" s="1"/>
  <c r="H69" i="5"/>
  <c r="N147" i="5" s="1"/>
  <c r="P106" i="5"/>
  <c r="H72" i="5"/>
  <c r="Q147" i="5" s="1"/>
  <c r="O140" i="5"/>
  <c r="P141" i="5"/>
  <c r="D76" i="5"/>
  <c r="B29" i="1" s="1"/>
  <c r="G16" i="1" s="1"/>
  <c r="E143" i="5"/>
  <c r="F145" i="5"/>
  <c r="H75" i="5"/>
  <c r="T147" i="5" s="1"/>
  <c r="B8" i="1"/>
  <c r="N11" i="3"/>
  <c r="N15" i="3" s="1"/>
  <c r="C31" i="1" s="1"/>
  <c r="D12" i="9" s="1"/>
  <c r="C16" i="9" s="1"/>
  <c r="L11" i="3"/>
  <c r="L15" i="3" s="1"/>
  <c r="B31" i="1" s="1"/>
  <c r="C99" i="5"/>
  <c r="D99" i="5"/>
  <c r="E24" i="5"/>
  <c r="G25" i="5" s="1"/>
  <c r="C23" i="5"/>
  <c r="F20" i="4"/>
  <c r="G20" i="4" s="1"/>
  <c r="H20" i="4" s="1"/>
  <c r="D20" i="4"/>
  <c r="E20" i="4" s="1"/>
  <c r="C20" i="4"/>
  <c r="B20" i="4"/>
  <c r="B7" i="4"/>
  <c r="C129" i="5" l="1"/>
  <c r="G18" i="1"/>
  <c r="G23" i="1" s="1"/>
  <c r="D3" i="9"/>
  <c r="C7" i="9" s="1"/>
  <c r="C110" i="5"/>
  <c r="C35" i="1"/>
  <c r="H18" i="1"/>
  <c r="C35" i="5"/>
  <c r="C36" i="5" s="1"/>
  <c r="C37" i="5" s="1"/>
  <c r="B35" i="1"/>
  <c r="D34" i="5"/>
  <c r="K61" i="5"/>
  <c r="O61" i="5"/>
  <c r="C16" i="2"/>
  <c r="C42" i="2" s="1"/>
  <c r="D42" i="2" s="1"/>
  <c r="D40" i="2" s="1"/>
  <c r="G183" i="5"/>
  <c r="I177" i="5"/>
  <c r="J178" i="5"/>
  <c r="I182" i="5"/>
  <c r="F158" i="5"/>
  <c r="G159" i="5"/>
  <c r="F125" i="5"/>
  <c r="E161" i="5"/>
  <c r="F163" i="5"/>
  <c r="U64" i="5"/>
  <c r="W63" i="5"/>
  <c r="S63" i="5"/>
  <c r="S38" i="5"/>
  <c r="T37" i="5"/>
  <c r="U37" i="5"/>
  <c r="K38" i="5"/>
  <c r="M37" i="5"/>
  <c r="L37" i="5"/>
  <c r="M63" i="5"/>
  <c r="O62" i="5"/>
  <c r="K62" i="5"/>
  <c r="G61" i="5"/>
  <c r="E62" i="5"/>
  <c r="E63" i="5" s="1"/>
  <c r="D152" i="5"/>
  <c r="E139" i="5" s="1"/>
  <c r="E152" i="5" s="1"/>
  <c r="F139" i="5" s="1"/>
  <c r="B36" i="1"/>
  <c r="Q106" i="5"/>
  <c r="G145" i="5"/>
  <c r="P140" i="5"/>
  <c r="Q141" i="5"/>
  <c r="E108" i="5"/>
  <c r="E110" i="5" s="1"/>
  <c r="C36" i="1"/>
  <c r="P11" i="3"/>
  <c r="P15" i="3" s="1"/>
  <c r="D23" i="5"/>
  <c r="E25" i="5"/>
  <c r="G26" i="5" s="1"/>
  <c r="C24" i="5"/>
  <c r="D24" i="5" s="1"/>
  <c r="B21" i="4"/>
  <c r="F21" i="4"/>
  <c r="G21" i="4" s="1"/>
  <c r="H21" i="4" s="1"/>
  <c r="D21" i="4"/>
  <c r="E21" i="4" s="1"/>
  <c r="C21" i="4"/>
  <c r="B8" i="4"/>
  <c r="G22" i="1" l="1"/>
  <c r="H23" i="1"/>
  <c r="H22" i="1"/>
  <c r="D36" i="5"/>
  <c r="E36" i="5"/>
  <c r="G37" i="5" s="1"/>
  <c r="D35" i="5"/>
  <c r="E35" i="5"/>
  <c r="G36" i="5" s="1"/>
  <c r="D16" i="2"/>
  <c r="D14" i="2" s="1"/>
  <c r="J182" i="5"/>
  <c r="J177" i="5"/>
  <c r="K178" i="5"/>
  <c r="H183" i="5"/>
  <c r="G180" i="5"/>
  <c r="G163" i="5"/>
  <c r="G125" i="5"/>
  <c r="G158" i="5"/>
  <c r="H159" i="5"/>
  <c r="T38" i="5"/>
  <c r="S39" i="5"/>
  <c r="U38" i="5"/>
  <c r="W39" i="5" s="1"/>
  <c r="W64" i="5"/>
  <c r="S64" i="5"/>
  <c r="U65" i="5"/>
  <c r="W38" i="5"/>
  <c r="O38" i="5"/>
  <c r="M64" i="5"/>
  <c r="O63" i="5"/>
  <c r="K63" i="5"/>
  <c r="M38" i="5"/>
  <c r="O39" i="5" s="1"/>
  <c r="L38" i="5"/>
  <c r="K39" i="5"/>
  <c r="C62" i="5"/>
  <c r="G62" i="5"/>
  <c r="E64" i="5"/>
  <c r="G63" i="5"/>
  <c r="C63" i="5"/>
  <c r="F108" i="5"/>
  <c r="F110" i="5" s="1"/>
  <c r="F111" i="5"/>
  <c r="F150" i="5" s="1"/>
  <c r="F143" i="5" s="1"/>
  <c r="C38" i="5"/>
  <c r="D37" i="5"/>
  <c r="E37" i="5"/>
  <c r="G38" i="5" s="1"/>
  <c r="R106" i="5"/>
  <c r="R141" i="5"/>
  <c r="Q140" i="5"/>
  <c r="H145" i="5"/>
  <c r="G143" i="5"/>
  <c r="D31" i="1"/>
  <c r="I18" i="1" s="1"/>
  <c r="E26" i="5"/>
  <c r="G27" i="5" s="1"/>
  <c r="C25" i="5"/>
  <c r="C22" i="4"/>
  <c r="F22" i="4" s="1"/>
  <c r="G22" i="4" s="1"/>
  <c r="H22" i="4" s="1"/>
  <c r="B22" i="4"/>
  <c r="D22" i="4"/>
  <c r="E22" i="4" s="1"/>
  <c r="I22" i="1" l="1"/>
  <c r="I23" i="1"/>
  <c r="C69" i="2"/>
  <c r="D69" i="2" s="1"/>
  <c r="D67" i="2" s="1"/>
  <c r="D35" i="1"/>
  <c r="K177" i="5"/>
  <c r="L178" i="5"/>
  <c r="I183" i="5"/>
  <c r="H180" i="5"/>
  <c r="K182" i="5"/>
  <c r="B22" i="2"/>
  <c r="D22" i="2" s="1"/>
  <c r="C159" i="5"/>
  <c r="C158" i="5" s="1"/>
  <c r="I159" i="5"/>
  <c r="H158" i="5"/>
  <c r="H125" i="5"/>
  <c r="G161" i="5"/>
  <c r="H163" i="5"/>
  <c r="S40" i="5"/>
  <c r="T39" i="5"/>
  <c r="U39" i="5"/>
  <c r="S65" i="5"/>
  <c r="U66" i="5"/>
  <c r="W65" i="5"/>
  <c r="K40" i="5"/>
  <c r="M39" i="5"/>
  <c r="O40" i="5" s="1"/>
  <c r="L39" i="5"/>
  <c r="M65" i="5"/>
  <c r="O64" i="5"/>
  <c r="K64" i="5"/>
  <c r="F152" i="5"/>
  <c r="G139" i="5" s="1"/>
  <c r="G152" i="5" s="1"/>
  <c r="H139" i="5" s="1"/>
  <c r="E65" i="5"/>
  <c r="C64" i="5"/>
  <c r="G64" i="5"/>
  <c r="S141" i="5"/>
  <c r="R140" i="5"/>
  <c r="S106" i="5"/>
  <c r="G108" i="5"/>
  <c r="G110" i="5" s="1"/>
  <c r="I145" i="5"/>
  <c r="J145" i="5" s="1"/>
  <c r="H143" i="5"/>
  <c r="C39" i="5"/>
  <c r="D38" i="5"/>
  <c r="E38" i="5"/>
  <c r="G39" i="5" s="1"/>
  <c r="D36" i="1"/>
  <c r="D25" i="5"/>
  <c r="C26" i="5"/>
  <c r="D26" i="5" s="1"/>
  <c r="E27" i="5"/>
  <c r="D23" i="4"/>
  <c r="F23" i="4" s="1"/>
  <c r="G23" i="4" s="1"/>
  <c r="H23" i="4" s="1"/>
  <c r="B23" i="4"/>
  <c r="C23" i="4"/>
  <c r="L182" i="5" l="1"/>
  <c r="M178" i="5"/>
  <c r="L177" i="5"/>
  <c r="J183" i="5"/>
  <c r="I163" i="5"/>
  <c r="H161" i="5"/>
  <c r="I125" i="5"/>
  <c r="I158" i="5"/>
  <c r="J159" i="5"/>
  <c r="S66" i="5"/>
  <c r="W66" i="5"/>
  <c r="U67" i="5"/>
  <c r="W40" i="5"/>
  <c r="T40" i="5"/>
  <c r="S41" i="5"/>
  <c r="U40" i="5"/>
  <c r="W41" i="5" s="1"/>
  <c r="O65" i="5"/>
  <c r="K65" i="5"/>
  <c r="M66" i="5"/>
  <c r="M40" i="5"/>
  <c r="O41" i="5" s="1"/>
  <c r="L40" i="5"/>
  <c r="K41" i="5"/>
  <c r="D27" i="5"/>
  <c r="H152" i="5"/>
  <c r="I139" i="5" s="1"/>
  <c r="E66" i="5"/>
  <c r="C65" i="5"/>
  <c r="G65" i="5"/>
  <c r="H108" i="5"/>
  <c r="H110" i="5" s="1"/>
  <c r="K145" i="5"/>
  <c r="J143" i="5"/>
  <c r="C40" i="5"/>
  <c r="D39" i="5"/>
  <c r="E39" i="5"/>
  <c r="G40" i="5" s="1"/>
  <c r="T106" i="5"/>
  <c r="T141" i="5"/>
  <c r="T140" i="5" s="1"/>
  <c r="S140" i="5"/>
  <c r="C27" i="5"/>
  <c r="B24" i="4"/>
  <c r="F24" i="4"/>
  <c r="G24" i="4" s="1"/>
  <c r="H24" i="4" s="1"/>
  <c r="D24" i="4"/>
  <c r="C24" i="4"/>
  <c r="E23" i="4"/>
  <c r="E24" i="4" s="1"/>
  <c r="N178" i="5" l="1"/>
  <c r="N177" i="5" s="1"/>
  <c r="M177" i="5"/>
  <c r="M182" i="5"/>
  <c r="K183" i="5"/>
  <c r="J180" i="5"/>
  <c r="K159" i="5"/>
  <c r="J158" i="5"/>
  <c r="J125" i="5"/>
  <c r="J163" i="5"/>
  <c r="S42" i="5"/>
  <c r="T41" i="5"/>
  <c r="U41" i="5"/>
  <c r="S67" i="5"/>
  <c r="U68" i="5"/>
  <c r="W67" i="5"/>
  <c r="K42" i="5"/>
  <c r="M41" i="5"/>
  <c r="O42" i="5" s="1"/>
  <c r="L41" i="5"/>
  <c r="M67" i="5"/>
  <c r="O66" i="5"/>
  <c r="K66" i="5"/>
  <c r="E67" i="5"/>
  <c r="G66" i="5"/>
  <c r="C66" i="5"/>
  <c r="I108" i="5"/>
  <c r="I110" i="5" s="1"/>
  <c r="I111" i="5"/>
  <c r="I150" i="5" s="1"/>
  <c r="I143" i="5" s="1"/>
  <c r="I152" i="5" s="1"/>
  <c r="J139" i="5" s="1"/>
  <c r="J152" i="5" s="1"/>
  <c r="K139" i="5" s="1"/>
  <c r="L145" i="5"/>
  <c r="K143" i="5"/>
  <c r="C41" i="5"/>
  <c r="D40" i="5"/>
  <c r="E40" i="5"/>
  <c r="G41" i="5" s="1"/>
  <c r="C25" i="4"/>
  <c r="D25" i="4"/>
  <c r="F25" i="4" s="1"/>
  <c r="G25" i="4" s="1"/>
  <c r="H25" i="4" s="1"/>
  <c r="B25" i="4"/>
  <c r="L183" i="5" l="1"/>
  <c r="K180" i="5"/>
  <c r="N182" i="5"/>
  <c r="K125" i="5"/>
  <c r="J161" i="5"/>
  <c r="K163" i="5"/>
  <c r="K158" i="5"/>
  <c r="L159" i="5"/>
  <c r="U69" i="5"/>
  <c r="U70" i="5" s="1"/>
  <c r="W68" i="5"/>
  <c r="S68" i="5"/>
  <c r="W42" i="5"/>
  <c r="T42" i="5"/>
  <c r="S43" i="5"/>
  <c r="U42" i="5"/>
  <c r="W43" i="5" s="1"/>
  <c r="O67" i="5"/>
  <c r="K67" i="5"/>
  <c r="M68" i="5"/>
  <c r="M42" i="5"/>
  <c r="O43" i="5" s="1"/>
  <c r="L42" i="5"/>
  <c r="K43" i="5"/>
  <c r="E68" i="5"/>
  <c r="G67" i="5"/>
  <c r="C67" i="5"/>
  <c r="C42" i="5"/>
  <c r="D41" i="5"/>
  <c r="E41" i="5"/>
  <c r="G42" i="5" s="1"/>
  <c r="J108" i="5"/>
  <c r="J110" i="5" s="1"/>
  <c r="M145" i="5"/>
  <c r="K152" i="5"/>
  <c r="L139" i="5" s="1"/>
  <c r="D26" i="4"/>
  <c r="B26" i="4"/>
  <c r="C26" i="4"/>
  <c r="F26" i="4" s="1"/>
  <c r="G26" i="4" s="1"/>
  <c r="H26" i="4" s="1"/>
  <c r="E25" i="4"/>
  <c r="E26" i="4" s="1"/>
  <c r="M183" i="5" l="1"/>
  <c r="D127" i="5"/>
  <c r="L163" i="5"/>
  <c r="K161" i="5"/>
  <c r="L125" i="5"/>
  <c r="L158" i="5"/>
  <c r="M159" i="5"/>
  <c r="S44" i="5"/>
  <c r="U43" i="5"/>
  <c r="W44" i="5" s="1"/>
  <c r="T43" i="5"/>
  <c r="W69" i="5"/>
  <c r="S69" i="5"/>
  <c r="S70" i="5" s="1"/>
  <c r="K44" i="5"/>
  <c r="K45" i="5" s="1"/>
  <c r="M43" i="5"/>
  <c r="O44" i="5" s="1"/>
  <c r="L43" i="5"/>
  <c r="M69" i="5"/>
  <c r="M70" i="5" s="1"/>
  <c r="K68" i="5"/>
  <c r="O68" i="5"/>
  <c r="E69" i="5"/>
  <c r="C68" i="5"/>
  <c r="G68" i="5"/>
  <c r="N145" i="5"/>
  <c r="M143" i="5"/>
  <c r="C43" i="5"/>
  <c r="E42" i="5"/>
  <c r="G43" i="5" s="1"/>
  <c r="D42" i="5"/>
  <c r="K108" i="5"/>
  <c r="K110" i="5" s="1"/>
  <c r="E27" i="4"/>
  <c r="C27" i="4"/>
  <c r="F27" i="4" s="1"/>
  <c r="G27" i="4" s="1"/>
  <c r="H27" i="4" s="1"/>
  <c r="D27" i="4"/>
  <c r="B27" i="4"/>
  <c r="N183" i="5" l="1"/>
  <c r="N180" i="5" s="1"/>
  <c r="M180" i="5"/>
  <c r="M163" i="5"/>
  <c r="M125" i="5"/>
  <c r="N159" i="5"/>
  <c r="N158" i="5" s="1"/>
  <c r="M158" i="5"/>
  <c r="E127" i="5"/>
  <c r="D129" i="5"/>
  <c r="T44" i="5"/>
  <c r="T45" i="5" s="1"/>
  <c r="U44" i="5"/>
  <c r="S45" i="5"/>
  <c r="O69" i="5"/>
  <c r="K69" i="5"/>
  <c r="K70" i="5" s="1"/>
  <c r="M44" i="5"/>
  <c r="L44" i="5"/>
  <c r="L45" i="5" s="1"/>
  <c r="E70" i="5"/>
  <c r="G69" i="5"/>
  <c r="C69" i="5"/>
  <c r="L108" i="5"/>
  <c r="L110" i="5" s="1"/>
  <c r="L111" i="5"/>
  <c r="L150" i="5" s="1"/>
  <c r="L143" i="5" s="1"/>
  <c r="L152" i="5" s="1"/>
  <c r="M139" i="5" s="1"/>
  <c r="M152" i="5" s="1"/>
  <c r="N139" i="5" s="1"/>
  <c r="C44" i="5"/>
  <c r="E43" i="5"/>
  <c r="G44" i="5" s="1"/>
  <c r="D43" i="5"/>
  <c r="O145" i="5"/>
  <c r="N143" i="5"/>
  <c r="D28" i="4"/>
  <c r="E28" i="4" s="1"/>
  <c r="B28" i="4"/>
  <c r="C28" i="4"/>
  <c r="M161" i="5" l="1"/>
  <c r="N163" i="5"/>
  <c r="N161" i="5" s="1"/>
  <c r="N125" i="5"/>
  <c r="F127" i="5"/>
  <c r="E129" i="5"/>
  <c r="F130" i="5" s="1"/>
  <c r="F187" i="5" s="1"/>
  <c r="F180" i="5" s="1"/>
  <c r="W45" i="5"/>
  <c r="G74" i="2" s="1"/>
  <c r="U45" i="5"/>
  <c r="C120" i="5"/>
  <c r="O45" i="5"/>
  <c r="M45" i="5"/>
  <c r="N152" i="5"/>
  <c r="O139" i="5" s="1"/>
  <c r="E71" i="5"/>
  <c r="C70" i="5"/>
  <c r="G70" i="5"/>
  <c r="P145" i="5"/>
  <c r="P143" i="5" s="1"/>
  <c r="C45" i="5"/>
  <c r="E44" i="5"/>
  <c r="G45" i="5" s="1"/>
  <c r="D44" i="5"/>
  <c r="M108" i="5"/>
  <c r="M110" i="5" s="1"/>
  <c r="F28" i="4"/>
  <c r="G28" i="4" s="1"/>
  <c r="H28" i="4" s="1"/>
  <c r="G47" i="2" l="1"/>
  <c r="C182" i="5"/>
  <c r="G127" i="5"/>
  <c r="F129" i="5"/>
  <c r="D120" i="5"/>
  <c r="E72" i="5"/>
  <c r="G71" i="5"/>
  <c r="C71" i="5"/>
  <c r="Q145" i="5"/>
  <c r="N108" i="5"/>
  <c r="N110" i="5" s="1"/>
  <c r="C46" i="5"/>
  <c r="D45" i="5"/>
  <c r="E45" i="5"/>
  <c r="G46" i="5" s="1"/>
  <c r="E29" i="4"/>
  <c r="C29" i="4"/>
  <c r="F29" i="4" s="1"/>
  <c r="G29" i="4" s="1"/>
  <c r="H29" i="4" s="1"/>
  <c r="B29" i="4"/>
  <c r="D29" i="4"/>
  <c r="H127" i="5" l="1"/>
  <c r="G129" i="5"/>
  <c r="E120" i="5"/>
  <c r="F121" i="5" s="1"/>
  <c r="F168" i="5" s="1"/>
  <c r="F161" i="5" s="1"/>
  <c r="E73" i="5"/>
  <c r="G72" i="5"/>
  <c r="C72" i="5"/>
  <c r="C47" i="5"/>
  <c r="D46" i="5"/>
  <c r="E46" i="5"/>
  <c r="G47" i="5" s="1"/>
  <c r="O108" i="5"/>
  <c r="O110" i="5" s="1"/>
  <c r="O111" i="5"/>
  <c r="O150" i="5" s="1"/>
  <c r="O143" i="5" s="1"/>
  <c r="O152" i="5" s="1"/>
  <c r="P139" i="5" s="1"/>
  <c r="P152" i="5" s="1"/>
  <c r="Q139" i="5" s="1"/>
  <c r="R145" i="5"/>
  <c r="Q143" i="5"/>
  <c r="D30" i="4"/>
  <c r="E30" i="4" s="1"/>
  <c r="C30" i="4"/>
  <c r="F30" i="4" s="1"/>
  <c r="G30" i="4" s="1"/>
  <c r="H30" i="4" s="1"/>
  <c r="B30" i="4"/>
  <c r="I127" i="5" l="1"/>
  <c r="H129" i="5"/>
  <c r="I130" i="5" s="1"/>
  <c r="I187" i="5" s="1"/>
  <c r="I180" i="5" s="1"/>
  <c r="F120" i="5"/>
  <c r="Q152" i="5"/>
  <c r="R139" i="5" s="1"/>
  <c r="E74" i="5"/>
  <c r="C73" i="5"/>
  <c r="G73" i="5"/>
  <c r="P108" i="5"/>
  <c r="P110" i="5" s="1"/>
  <c r="C48" i="5"/>
  <c r="D47" i="5"/>
  <c r="E47" i="5"/>
  <c r="G48" i="5" s="1"/>
  <c r="S145" i="5"/>
  <c r="D31" i="4"/>
  <c r="F31" i="4" s="1"/>
  <c r="G31" i="4" s="1"/>
  <c r="H31" i="4" s="1"/>
  <c r="C31" i="4"/>
  <c r="B31" i="4"/>
  <c r="J127" i="5" l="1"/>
  <c r="I129" i="5"/>
  <c r="G120" i="5"/>
  <c r="E75" i="5"/>
  <c r="C74" i="5"/>
  <c r="G74" i="5"/>
  <c r="T145" i="5"/>
  <c r="T143" i="5" s="1"/>
  <c r="S143" i="5"/>
  <c r="Q108" i="5"/>
  <c r="Q110" i="5" s="1"/>
  <c r="C49" i="5"/>
  <c r="D48" i="5"/>
  <c r="E48" i="5"/>
  <c r="G49" i="5" s="1"/>
  <c r="B32" i="4"/>
  <c r="D32" i="4"/>
  <c r="C32" i="4"/>
  <c r="F32" i="4" s="1"/>
  <c r="G32" i="4" s="1"/>
  <c r="H32" i="4" s="1"/>
  <c r="E31" i="4"/>
  <c r="E32" i="4" s="1"/>
  <c r="K127" i="5" l="1"/>
  <c r="J129" i="5"/>
  <c r="H120" i="5"/>
  <c r="I121" i="5" s="1"/>
  <c r="I168" i="5" s="1"/>
  <c r="I161" i="5" s="1"/>
  <c r="G75" i="5"/>
  <c r="C75" i="5"/>
  <c r="C76" i="5" s="1"/>
  <c r="E76" i="5"/>
  <c r="C50" i="5"/>
  <c r="D49" i="5"/>
  <c r="E49" i="5"/>
  <c r="G50" i="5" s="1"/>
  <c r="R108" i="5"/>
  <c r="R110" i="5" s="1"/>
  <c r="R111" i="5"/>
  <c r="R150" i="5" s="1"/>
  <c r="R143" i="5" s="1"/>
  <c r="R152" i="5" s="1"/>
  <c r="S139" i="5" s="1"/>
  <c r="S152" i="5" s="1"/>
  <c r="T139" i="5" s="1"/>
  <c r="C33" i="4"/>
  <c r="D33" i="4"/>
  <c r="F33" i="4" s="1"/>
  <c r="G33" i="4" s="1"/>
  <c r="H33" i="4" s="1"/>
  <c r="B33" i="4"/>
  <c r="L127" i="5" l="1"/>
  <c r="K129" i="5"/>
  <c r="L130" i="5" s="1"/>
  <c r="L187" i="5" s="1"/>
  <c r="L180" i="5" s="1"/>
  <c r="I120" i="5"/>
  <c r="T152" i="5"/>
  <c r="S108" i="5"/>
  <c r="S110" i="5" s="1"/>
  <c r="D50" i="5"/>
  <c r="D51" i="5" s="1"/>
  <c r="E50" i="5"/>
  <c r="C51" i="5"/>
  <c r="D34" i="4"/>
  <c r="B34" i="4"/>
  <c r="C34" i="4"/>
  <c r="F34" i="4" s="1"/>
  <c r="G34" i="4" s="1"/>
  <c r="H34" i="4" s="1"/>
  <c r="E33" i="4"/>
  <c r="E34" i="4" s="1"/>
  <c r="B23" i="2" l="1"/>
  <c r="D23" i="2" s="1"/>
  <c r="D20" i="2" s="1"/>
  <c r="E28" i="2" s="1"/>
  <c r="C157" i="5"/>
  <c r="M127" i="5"/>
  <c r="L129" i="5"/>
  <c r="J120" i="5"/>
  <c r="T108" i="5"/>
  <c r="T110" i="5" s="1"/>
  <c r="G51" i="5"/>
  <c r="E51" i="5"/>
  <c r="C35" i="4"/>
  <c r="D35" i="4"/>
  <c r="E35" i="4" s="1"/>
  <c r="B35" i="4"/>
  <c r="G22" i="2" l="1"/>
  <c r="C163" i="5"/>
  <c r="N127" i="5"/>
  <c r="N129" i="5" s="1"/>
  <c r="M129" i="5"/>
  <c r="K120" i="5"/>
  <c r="L121" i="5" s="1"/>
  <c r="L168" i="5" s="1"/>
  <c r="L161" i="5" s="1"/>
  <c r="U111" i="5"/>
  <c r="F35" i="4"/>
  <c r="G35" i="4" s="1"/>
  <c r="H35" i="4" s="1"/>
  <c r="G24" i="2" l="1"/>
  <c r="C168" i="5"/>
  <c r="C161" i="5" s="1"/>
  <c r="C170" i="5" s="1"/>
  <c r="D157" i="5" s="1"/>
  <c r="D170" i="5" s="1"/>
  <c r="E157" i="5" s="1"/>
  <c r="E170" i="5" s="1"/>
  <c r="F157" i="5" s="1"/>
  <c r="F170" i="5" s="1"/>
  <c r="G157" i="5" s="1"/>
  <c r="G170" i="5" s="1"/>
  <c r="H157" i="5" s="1"/>
  <c r="H170" i="5" s="1"/>
  <c r="I157" i="5" s="1"/>
  <c r="I170" i="5" s="1"/>
  <c r="J157" i="5" s="1"/>
  <c r="J170" i="5" s="1"/>
  <c r="K157" i="5" s="1"/>
  <c r="K170" i="5" s="1"/>
  <c r="L157" i="5" s="1"/>
  <c r="L170" i="5" s="1"/>
  <c r="M157" i="5" s="1"/>
  <c r="M170" i="5" s="1"/>
  <c r="N157" i="5" s="1"/>
  <c r="N170" i="5" s="1"/>
  <c r="O130" i="5"/>
  <c r="G76" i="2" s="1"/>
  <c r="L120" i="5"/>
  <c r="D36" i="4"/>
  <c r="B36" i="4"/>
  <c r="C36" i="4"/>
  <c r="F36" i="4" s="1"/>
  <c r="G36" i="4" s="1"/>
  <c r="H36" i="4" s="1"/>
  <c r="E36" i="4"/>
  <c r="C3" i="4" s="1"/>
  <c r="D3" i="4" l="1"/>
  <c r="B38" i="1"/>
  <c r="B48" i="2"/>
  <c r="D48" i="2" s="1"/>
  <c r="D45" i="2" s="1"/>
  <c r="E53" i="2" s="1"/>
  <c r="C176" i="5"/>
  <c r="M120" i="5"/>
  <c r="C37" i="4"/>
  <c r="F37" i="4" s="1"/>
  <c r="G37" i="4" s="1"/>
  <c r="H37" i="4" s="1"/>
  <c r="B37" i="4"/>
  <c r="D37" i="4"/>
  <c r="E37" i="4" s="1"/>
  <c r="E3" i="4"/>
  <c r="C100" i="5" s="1"/>
  <c r="G21" i="2" s="1"/>
  <c r="G25" i="1" l="1"/>
  <c r="G27" i="1" s="1"/>
  <c r="B40" i="1"/>
  <c r="N120" i="5"/>
  <c r="O121" i="5" s="1"/>
  <c r="D38" i="4"/>
  <c r="C38" i="4"/>
  <c r="F38" i="4" s="1"/>
  <c r="G38" i="4" s="1"/>
  <c r="H38" i="4" s="1"/>
  <c r="B38" i="4"/>
  <c r="E38" i="4"/>
  <c r="F3" i="4"/>
  <c r="B4" i="7" s="1"/>
  <c r="G31" i="1" l="1"/>
  <c r="G32" i="1" s="1"/>
  <c r="G29" i="1"/>
  <c r="B44" i="1"/>
  <c r="B42" i="1"/>
  <c r="G25" i="2" s="1"/>
  <c r="G23" i="2" s="1"/>
  <c r="G49" i="2"/>
  <c r="C187" i="5"/>
  <c r="C180" i="5" s="1"/>
  <c r="C189" i="5" s="1"/>
  <c r="D176" i="5" s="1"/>
  <c r="D189" i="5" s="1"/>
  <c r="E176" i="5" s="1"/>
  <c r="D39" i="4"/>
  <c r="E39" i="4" s="1"/>
  <c r="C39" i="4"/>
  <c r="F39" i="4"/>
  <c r="G39" i="4" s="1"/>
  <c r="H39" i="4" s="1"/>
  <c r="B39" i="4"/>
  <c r="B3" i="8" l="1"/>
  <c r="B3" i="7" s="1"/>
  <c r="B5" i="7" s="1"/>
  <c r="G20" i="2"/>
  <c r="B45" i="1"/>
  <c r="B8" i="7"/>
  <c r="B11" i="7" s="1"/>
  <c r="G34" i="1"/>
  <c r="G33" i="1"/>
  <c r="G37" i="1"/>
  <c r="H35" i="1" s="1"/>
  <c r="B40" i="4"/>
  <c r="D40" i="4"/>
  <c r="E40" i="4" s="1"/>
  <c r="C40" i="4"/>
  <c r="F40" i="4" s="1"/>
  <c r="G40" i="4" s="1"/>
  <c r="H40" i="4" s="1"/>
  <c r="B47" i="1" l="1"/>
  <c r="B46" i="1"/>
  <c r="B50" i="1"/>
  <c r="B13" i="7"/>
  <c r="B14" i="7" s="1"/>
  <c r="C41" i="4"/>
  <c r="E41" i="4"/>
  <c r="D41" i="4"/>
  <c r="F41" i="4" s="1"/>
  <c r="G41" i="4" s="1"/>
  <c r="H41" i="4" s="1"/>
  <c r="B41" i="4"/>
  <c r="G17" i="2" l="1"/>
  <c r="G14" i="2" s="1"/>
  <c r="C48" i="1"/>
  <c r="D42" i="4"/>
  <c r="B42" i="4"/>
  <c r="C42" i="4"/>
  <c r="F42" i="4" s="1"/>
  <c r="G42" i="4" s="1"/>
  <c r="H42" i="4" s="1"/>
  <c r="E42" i="4"/>
  <c r="B2" i="8" l="1"/>
  <c r="B4" i="8" s="1"/>
  <c r="H28" i="2"/>
  <c r="E29" i="2" s="1"/>
  <c r="C43" i="4"/>
  <c r="B43" i="4"/>
  <c r="D43" i="4"/>
  <c r="E43" i="4" s="1"/>
  <c r="F43" i="4" l="1"/>
  <c r="G43" i="4" s="1"/>
  <c r="H43" i="4" s="1"/>
  <c r="D44" i="4" l="1"/>
  <c r="B44" i="4"/>
  <c r="C44" i="4"/>
  <c r="F44" i="4" s="1"/>
  <c r="G44" i="4" s="1"/>
  <c r="H44" i="4" s="1"/>
  <c r="E44" i="4"/>
  <c r="C45" i="4" l="1"/>
  <c r="B45" i="4"/>
  <c r="D45" i="4"/>
  <c r="E45" i="4" s="1"/>
  <c r="F45" i="4" l="1"/>
  <c r="G45" i="4" s="1"/>
  <c r="H45" i="4" s="1"/>
  <c r="D46" i="4" l="1"/>
  <c r="C46" i="4"/>
  <c r="F46" i="4" s="1"/>
  <c r="G46" i="4" s="1"/>
  <c r="H46" i="4" s="1"/>
  <c r="B46" i="4"/>
  <c r="E46" i="4"/>
  <c r="D47" i="4" l="1"/>
  <c r="E47" i="4" s="1"/>
  <c r="C47" i="4"/>
  <c r="F47" i="4"/>
  <c r="G47" i="4" s="1"/>
  <c r="H47" i="4" s="1"/>
  <c r="B47" i="4"/>
  <c r="B48" i="4" l="1"/>
  <c r="D48" i="4"/>
  <c r="E48" i="4" s="1"/>
  <c r="C4" i="4" s="1"/>
  <c r="D4" i="4" s="1"/>
  <c r="C38" i="1" s="1"/>
  <c r="C48" i="4"/>
  <c r="F48" i="4" s="1"/>
  <c r="G48" i="4" s="1"/>
  <c r="H48" i="4" s="1"/>
  <c r="H25" i="1" l="1"/>
  <c r="H27" i="1" s="1"/>
  <c r="H29" i="1" s="1"/>
  <c r="H31" i="1" s="1"/>
  <c r="H32" i="1" s="1"/>
  <c r="H34" i="1" s="1"/>
  <c r="H33" i="1" s="1"/>
  <c r="H37" i="1" s="1"/>
  <c r="I35" i="1" s="1"/>
  <c r="C40" i="1"/>
  <c r="C49" i="4"/>
  <c r="B49" i="4"/>
  <c r="D49" i="4"/>
  <c r="F49" i="4" s="1"/>
  <c r="G49" i="4" s="1"/>
  <c r="H49" i="4" s="1"/>
  <c r="E4" i="4"/>
  <c r="C42" i="1" l="1"/>
  <c r="D50" i="4"/>
  <c r="B50" i="4"/>
  <c r="C50" i="4"/>
  <c r="F50" i="4" s="1"/>
  <c r="G50" i="4" s="1"/>
  <c r="H50" i="4" s="1"/>
  <c r="E49" i="4"/>
  <c r="E50" i="4" s="1"/>
  <c r="F4" i="4"/>
  <c r="C4" i="7" s="1"/>
  <c r="G3" i="4"/>
  <c r="H3" i="4" s="1"/>
  <c r="G50" i="2" l="1"/>
  <c r="G48" i="2" s="1"/>
  <c r="E188" i="5"/>
  <c r="E180" i="5" s="1"/>
  <c r="E189" i="5" s="1"/>
  <c r="F176" i="5" s="1"/>
  <c r="F189" i="5" s="1"/>
  <c r="G176" i="5" s="1"/>
  <c r="G189" i="5" s="1"/>
  <c r="H176" i="5" s="1"/>
  <c r="H189" i="5" s="1"/>
  <c r="I176" i="5" s="1"/>
  <c r="I189" i="5" s="1"/>
  <c r="J176" i="5" s="1"/>
  <c r="J189" i="5" s="1"/>
  <c r="K176" i="5" s="1"/>
  <c r="K189" i="5" s="1"/>
  <c r="L176" i="5" s="1"/>
  <c r="L189" i="5" s="1"/>
  <c r="M176" i="5" s="1"/>
  <c r="M189" i="5" s="1"/>
  <c r="N176" i="5" s="1"/>
  <c r="N189" i="5" s="1"/>
  <c r="B75" i="2" s="1"/>
  <c r="D75" i="2" s="1"/>
  <c r="D72" i="2" s="1"/>
  <c r="E80" i="2" s="1"/>
  <c r="C44" i="1"/>
  <c r="C51" i="4"/>
  <c r="F51" i="4"/>
  <c r="G51" i="4" s="1"/>
  <c r="H51" i="4" s="1"/>
  <c r="D51" i="4"/>
  <c r="E51" i="4" s="1"/>
  <c r="B51" i="4"/>
  <c r="C8" i="7" l="1"/>
  <c r="C11" i="7" s="1"/>
  <c r="C45" i="1"/>
  <c r="C47" i="1" s="1"/>
  <c r="C46" i="1" s="1"/>
  <c r="C50" i="1" s="1"/>
  <c r="C3" i="8"/>
  <c r="C3" i="7" s="1"/>
  <c r="C5" i="7" s="1"/>
  <c r="G45" i="2"/>
  <c r="D52" i="4"/>
  <c r="B52" i="4"/>
  <c r="C52" i="4"/>
  <c r="F52" i="4" s="1"/>
  <c r="G52" i="4" s="1"/>
  <c r="H52" i="4" s="1"/>
  <c r="E52" i="4"/>
  <c r="D48" i="1" l="1"/>
  <c r="G43" i="2"/>
  <c r="G40" i="2" s="1"/>
  <c r="C2" i="8" s="1"/>
  <c r="C4" i="8" s="1"/>
  <c r="C13" i="7"/>
  <c r="C14" i="7" s="1"/>
  <c r="C53" i="4"/>
  <c r="B53" i="4"/>
  <c r="D53" i="4"/>
  <c r="E53" i="4" s="1"/>
  <c r="H53" i="2" l="1"/>
  <c r="E54" i="2" s="1"/>
  <c r="F53" i="4"/>
  <c r="G53" i="4" s="1"/>
  <c r="H53" i="4" s="1"/>
  <c r="D54" i="4" l="1"/>
  <c r="C54" i="4"/>
  <c r="F54" i="4" s="1"/>
  <c r="G54" i="4" s="1"/>
  <c r="H54" i="4" s="1"/>
  <c r="B54" i="4"/>
  <c r="E54" i="4"/>
  <c r="E55" i="4" l="1"/>
  <c r="D55" i="4"/>
  <c r="C55" i="4"/>
  <c r="B55" i="4"/>
  <c r="F55" i="4"/>
  <c r="G55" i="4" s="1"/>
  <c r="H55" i="4" s="1"/>
  <c r="B56" i="4" l="1"/>
  <c r="E56" i="4"/>
  <c r="D56" i="4"/>
  <c r="C56" i="4"/>
  <c r="F56" i="4" s="1"/>
  <c r="G56" i="4" s="1"/>
  <c r="H56" i="4" s="1"/>
  <c r="C57" i="4" l="1"/>
  <c r="D57" i="4"/>
  <c r="F57" i="4" s="1"/>
  <c r="G57" i="4" s="1"/>
  <c r="H57" i="4" s="1"/>
  <c r="B57" i="4"/>
  <c r="D58" i="4" l="1"/>
  <c r="B58" i="4"/>
  <c r="C58" i="4"/>
  <c r="F58" i="4" s="1"/>
  <c r="G58" i="4" s="1"/>
  <c r="H58" i="4" s="1"/>
  <c r="E57" i="4"/>
  <c r="E58" i="4" s="1"/>
  <c r="C59" i="4" l="1"/>
  <c r="B59" i="4"/>
  <c r="D59" i="4"/>
  <c r="E59" i="4" s="1"/>
  <c r="F59" i="4"/>
  <c r="G59" i="4" s="1"/>
  <c r="H59" i="4" s="1"/>
  <c r="D60" i="4" l="1"/>
  <c r="B60" i="4"/>
  <c r="E60" i="4"/>
  <c r="C5" i="4" s="1"/>
  <c r="D5" i="4" s="1"/>
  <c r="D38" i="1" s="1"/>
  <c r="C60" i="4"/>
  <c r="F60" i="4" s="1"/>
  <c r="G60" i="4" s="1"/>
  <c r="H60" i="4" s="1"/>
  <c r="I25" i="1" l="1"/>
  <c r="I27" i="1" s="1"/>
  <c r="I29" i="1" s="1"/>
  <c r="I31" i="1" s="1"/>
  <c r="I32" i="1" s="1"/>
  <c r="I34" i="1" s="1"/>
  <c r="I33" i="1" s="1"/>
  <c r="I36" i="1" s="1"/>
  <c r="I37" i="1" s="1"/>
  <c r="D40" i="1"/>
  <c r="C61" i="4"/>
  <c r="B61" i="4"/>
  <c r="D61" i="4"/>
  <c r="E61" i="4" s="1"/>
  <c r="F61" i="4"/>
  <c r="G61" i="4" s="1"/>
  <c r="H61" i="4" s="1"/>
  <c r="E5" i="4"/>
  <c r="D42" i="1" l="1"/>
  <c r="G77" i="2" s="1"/>
  <c r="G75" i="2" s="1"/>
  <c r="D62" i="4"/>
  <c r="C62" i="4"/>
  <c r="F62" i="4" s="1"/>
  <c r="G62" i="4" s="1"/>
  <c r="H62" i="4" s="1"/>
  <c r="B62" i="4"/>
  <c r="E62" i="4"/>
  <c r="F5" i="4"/>
  <c r="D4" i="7" s="1"/>
  <c r="G4" i="4"/>
  <c r="H4" i="4" s="1"/>
  <c r="D44" i="1" l="1"/>
  <c r="D3" i="8"/>
  <c r="D3" i="7" s="1"/>
  <c r="D5" i="7" s="1"/>
  <c r="G72" i="2"/>
  <c r="D63" i="4"/>
  <c r="E63" i="4" s="1"/>
  <c r="C63" i="4"/>
  <c r="F63" i="4"/>
  <c r="G63" i="4" s="1"/>
  <c r="H63" i="4" s="1"/>
  <c r="B63" i="4"/>
  <c r="D8" i="7" l="1"/>
  <c r="D11" i="7" s="1"/>
  <c r="D13" i="7" s="1"/>
  <c r="D14" i="7" s="1"/>
  <c r="D45" i="1"/>
  <c r="D47" i="1" s="1"/>
  <c r="D46" i="1" s="1"/>
  <c r="B64" i="4"/>
  <c r="D64" i="4"/>
  <c r="E64" i="4" s="1"/>
  <c r="C64" i="4"/>
  <c r="F64" i="4" s="1"/>
  <c r="G64" i="4" s="1"/>
  <c r="H64" i="4" s="1"/>
  <c r="D49" i="1" l="1"/>
  <c r="G69" i="2" s="1"/>
  <c r="C65" i="4"/>
  <c r="B65" i="4"/>
  <c r="D65" i="4"/>
  <c r="F65" i="4" s="1"/>
  <c r="G65" i="4" s="1"/>
  <c r="H65" i="4" s="1"/>
  <c r="D50" i="1" l="1"/>
  <c r="G70" i="2" s="1"/>
  <c r="D66" i="4"/>
  <c r="B66" i="4"/>
  <c r="C66" i="4"/>
  <c r="F66" i="4" s="1"/>
  <c r="G66" i="4" s="1"/>
  <c r="H66" i="4" s="1"/>
  <c r="E65" i="4"/>
  <c r="E66" i="4" s="1"/>
  <c r="C67" i="4" l="1"/>
  <c r="D67" i="4"/>
  <c r="E67" i="4" s="1"/>
  <c r="F67" i="4"/>
  <c r="G67" i="4" s="1"/>
  <c r="H67" i="4" s="1"/>
  <c r="B67" i="4"/>
  <c r="D68" i="4" l="1"/>
  <c r="B68" i="4"/>
  <c r="E68" i="4"/>
  <c r="C68" i="4"/>
  <c r="F68" i="4" s="1"/>
  <c r="G68" i="4" s="1"/>
  <c r="H68" i="4" s="1"/>
  <c r="C69" i="4" l="1"/>
  <c r="B69" i="4"/>
  <c r="D69" i="4"/>
  <c r="E69" i="4" s="1"/>
  <c r="F69" i="4" l="1"/>
  <c r="G69" i="4" s="1"/>
  <c r="H69" i="4" s="1"/>
  <c r="D70" i="4" l="1"/>
  <c r="C70" i="4"/>
  <c r="F70" i="4" s="1"/>
  <c r="G70" i="4" s="1"/>
  <c r="H70" i="4" s="1"/>
  <c r="B70" i="4"/>
  <c r="E70" i="4"/>
  <c r="D71" i="4" l="1"/>
  <c r="E71" i="4" s="1"/>
  <c r="C71" i="4"/>
  <c r="F71" i="4" s="1"/>
  <c r="G71" i="4" s="1"/>
  <c r="H71" i="4" s="1"/>
  <c r="B71" i="4"/>
  <c r="B72" i="4" l="1"/>
  <c r="D72" i="4"/>
  <c r="E72" i="4" s="1"/>
  <c r="C6" i="4" s="1"/>
  <c r="D6" i="4" s="1"/>
  <c r="C72" i="4"/>
  <c r="F72" i="4" s="1"/>
  <c r="G72" i="4" s="1"/>
  <c r="H72" i="4" s="1"/>
  <c r="C73" i="4" l="1"/>
  <c r="B73" i="4"/>
  <c r="D73" i="4"/>
  <c r="F73" i="4" s="1"/>
  <c r="G73" i="4" s="1"/>
  <c r="H73" i="4" s="1"/>
  <c r="E6" i="4"/>
  <c r="D74" i="4" l="1"/>
  <c r="C74" i="4"/>
  <c r="B74" i="4"/>
  <c r="G74" i="4"/>
  <c r="H74" i="4" s="1"/>
  <c r="F74" i="4"/>
  <c r="E74" i="4"/>
  <c r="F6" i="4"/>
  <c r="G5" i="4"/>
  <c r="H5" i="4" s="1"/>
  <c r="E73" i="4"/>
  <c r="D75" i="4" l="1"/>
  <c r="E75" i="4" s="1"/>
  <c r="C75" i="4"/>
  <c r="B75" i="4"/>
  <c r="F75" i="4"/>
  <c r="G75" i="4" s="1"/>
  <c r="H75" i="4" s="1"/>
  <c r="D76" i="4" l="1"/>
  <c r="E76" i="4" s="1"/>
  <c r="C76" i="4"/>
  <c r="F76" i="4" s="1"/>
  <c r="G76" i="4" s="1"/>
  <c r="H76" i="4" s="1"/>
  <c r="B76" i="4"/>
  <c r="D77" i="4" l="1"/>
  <c r="E77" i="4" s="1"/>
  <c r="C77" i="4"/>
  <c r="F77" i="4" s="1"/>
  <c r="G77" i="4" s="1"/>
  <c r="H77" i="4" s="1"/>
  <c r="B77" i="4"/>
  <c r="D78" i="4" l="1"/>
  <c r="E78" i="4" s="1"/>
  <c r="C78" i="4"/>
  <c r="F78" i="4" s="1"/>
  <c r="G78" i="4" s="1"/>
  <c r="H78" i="4" s="1"/>
  <c r="B78" i="4"/>
  <c r="D79" i="4" l="1"/>
  <c r="E79" i="4" s="1"/>
  <c r="C79" i="4"/>
  <c r="F79" i="4" s="1"/>
  <c r="G79" i="4" s="1"/>
  <c r="H79" i="4" s="1"/>
  <c r="B79" i="4"/>
  <c r="B80" i="4" l="1"/>
  <c r="D80" i="4"/>
  <c r="E80" i="4" s="1"/>
  <c r="C80" i="4"/>
  <c r="F80" i="4" s="1"/>
  <c r="G80" i="4" s="1"/>
  <c r="H80" i="4" s="1"/>
  <c r="C81" i="4" l="1"/>
  <c r="B81" i="4"/>
  <c r="D81" i="4"/>
  <c r="F81" i="4" s="1"/>
  <c r="G81" i="4" s="1"/>
  <c r="H81" i="4" s="1"/>
  <c r="D82" i="4" l="1"/>
  <c r="C82" i="4"/>
  <c r="B82" i="4"/>
  <c r="F82" i="4"/>
  <c r="G82" i="4" s="1"/>
  <c r="H82" i="4" s="1"/>
  <c r="E81" i="4"/>
  <c r="E82" i="4" s="1"/>
  <c r="D83" i="4" l="1"/>
  <c r="E83" i="4" s="1"/>
  <c r="C83" i="4"/>
  <c r="F83" i="4" s="1"/>
  <c r="G83" i="4" s="1"/>
  <c r="H83" i="4" s="1"/>
  <c r="B83" i="4"/>
  <c r="E84" i="4" l="1"/>
  <c r="C7" i="4" s="1"/>
  <c r="D7" i="4" s="1"/>
  <c r="D84" i="4"/>
  <c r="C84" i="4"/>
  <c r="F84" i="4" s="1"/>
  <c r="G84" i="4" s="1"/>
  <c r="H84" i="4" s="1"/>
  <c r="B84" i="4"/>
  <c r="D85" i="4" l="1"/>
  <c r="E85" i="4" s="1"/>
  <c r="C85" i="4"/>
  <c r="F85" i="4" s="1"/>
  <c r="G85" i="4" s="1"/>
  <c r="H85" i="4" s="1"/>
  <c r="B85" i="4"/>
  <c r="E7" i="4"/>
  <c r="D86" i="4" l="1"/>
  <c r="E86" i="4" s="1"/>
  <c r="C86" i="4"/>
  <c r="F86" i="4" s="1"/>
  <c r="G86" i="4" s="1"/>
  <c r="H86" i="4" s="1"/>
  <c r="B86" i="4"/>
  <c r="F7" i="4"/>
  <c r="G6" i="4"/>
  <c r="H6" i="4" s="1"/>
  <c r="D87" i="4" l="1"/>
  <c r="E87" i="4" s="1"/>
  <c r="C87" i="4"/>
  <c r="F87" i="4" s="1"/>
  <c r="G87" i="4" s="1"/>
  <c r="H87" i="4" s="1"/>
  <c r="B87" i="4"/>
  <c r="B88" i="4" l="1"/>
  <c r="D88" i="4"/>
  <c r="E88" i="4" s="1"/>
  <c r="C88" i="4"/>
  <c r="F88" i="4" s="1"/>
  <c r="G88" i="4" s="1"/>
  <c r="H88" i="4" s="1"/>
  <c r="C89" i="4" l="1"/>
  <c r="B89" i="4"/>
  <c r="D89" i="4"/>
  <c r="F89" i="4" s="1"/>
  <c r="G89" i="4" s="1"/>
  <c r="H89" i="4" s="1"/>
  <c r="D90" i="4" l="1"/>
  <c r="C90" i="4"/>
  <c r="B90" i="4"/>
  <c r="F90" i="4"/>
  <c r="G90" i="4" s="1"/>
  <c r="H90" i="4" s="1"/>
  <c r="E89" i="4"/>
  <c r="E90" i="4" s="1"/>
  <c r="D91" i="4" l="1"/>
  <c r="E91" i="4" s="1"/>
  <c r="C91" i="4"/>
  <c r="B91" i="4"/>
  <c r="F91" i="4"/>
  <c r="G91" i="4" s="1"/>
  <c r="H91" i="4" s="1"/>
  <c r="D92" i="4" l="1"/>
  <c r="E92" i="4" s="1"/>
  <c r="C92" i="4"/>
  <c r="F92" i="4" s="1"/>
  <c r="G92" i="4" s="1"/>
  <c r="H92" i="4" s="1"/>
  <c r="B92" i="4"/>
  <c r="E93" i="4" l="1"/>
  <c r="D93" i="4"/>
  <c r="C93" i="4"/>
  <c r="F93" i="4" s="1"/>
  <c r="G93" i="4" s="1"/>
  <c r="H93" i="4" s="1"/>
  <c r="B93" i="4"/>
  <c r="F94" i="4" l="1"/>
  <c r="G94" i="4" s="1"/>
  <c r="H94" i="4" s="1"/>
  <c r="D94" i="4"/>
  <c r="E94" i="4" s="1"/>
  <c r="C94" i="4"/>
  <c r="B94" i="4"/>
  <c r="D95" i="4" l="1"/>
  <c r="E95" i="4" s="1"/>
  <c r="C95" i="4"/>
  <c r="F95" i="4" s="1"/>
  <c r="G95" i="4" s="1"/>
  <c r="H95" i="4" s="1"/>
  <c r="B95" i="4"/>
  <c r="B96" i="4" l="1"/>
  <c r="D96" i="4"/>
  <c r="E96" i="4" s="1"/>
  <c r="C8" i="4" s="1"/>
  <c r="D8" i="4" s="1"/>
  <c r="C96" i="4"/>
  <c r="F96" i="4" s="1"/>
  <c r="G96" i="4" s="1"/>
  <c r="H96" i="4" s="1"/>
  <c r="C97" i="4" l="1"/>
  <c r="B97" i="4"/>
  <c r="D97" i="4"/>
  <c r="F97" i="4" s="1"/>
  <c r="G97" i="4" s="1"/>
  <c r="H97" i="4" s="1"/>
  <c r="E8" i="4"/>
  <c r="D98" i="4" l="1"/>
  <c r="C98" i="4"/>
  <c r="B98" i="4"/>
  <c r="F98" i="4"/>
  <c r="G98" i="4" s="1"/>
  <c r="H98" i="4" s="1"/>
  <c r="E97" i="4"/>
  <c r="E98" i="4" s="1"/>
  <c r="G8" i="4"/>
  <c r="H8" i="4" s="1"/>
  <c r="F8" i="4"/>
  <c r="G7" i="4"/>
  <c r="H7" i="4" s="1"/>
  <c r="D99" i="4" l="1"/>
  <c r="E99" i="4" s="1"/>
  <c r="C99" i="4"/>
  <c r="B99" i="4"/>
  <c r="F99" i="4"/>
  <c r="G99" i="4" s="1"/>
  <c r="H99" i="4" s="1"/>
  <c r="D100" i="4" l="1"/>
  <c r="E100" i="4" s="1"/>
  <c r="C100" i="4"/>
  <c r="F100" i="4" s="1"/>
  <c r="G100" i="4" s="1"/>
  <c r="H100" i="4" s="1"/>
  <c r="B100" i="4"/>
  <c r="D101" i="4" l="1"/>
  <c r="E101" i="4" s="1"/>
  <c r="C101" i="4"/>
  <c r="F101" i="4" s="1"/>
  <c r="G101" i="4" s="1"/>
  <c r="H101" i="4" s="1"/>
  <c r="B101" i="4"/>
  <c r="D102" i="4" l="1"/>
  <c r="E102" i="4" s="1"/>
  <c r="C102" i="4"/>
  <c r="B102" i="4"/>
  <c r="F102" i="4"/>
  <c r="G102" i="4" s="1"/>
  <c r="H102" i="4" s="1"/>
  <c r="D103" i="4" l="1"/>
  <c r="E103" i="4" s="1"/>
  <c r="C103" i="4"/>
  <c r="F103" i="4" s="1"/>
  <c r="G103" i="4" s="1"/>
  <c r="H103" i="4" s="1"/>
  <c r="B103" i="4"/>
  <c r="B104" i="4" l="1"/>
  <c r="D104" i="4"/>
  <c r="E104" i="4" s="1"/>
  <c r="C104" i="4"/>
  <c r="F104" i="4" s="1"/>
  <c r="G104" i="4" s="1"/>
  <c r="H104" i="4" s="1"/>
  <c r="C105" i="4" l="1"/>
  <c r="D105" i="4"/>
  <c r="E105" i="4" s="1"/>
  <c r="B105" i="4"/>
  <c r="F105" i="4" l="1"/>
  <c r="G105" i="4" s="1"/>
  <c r="H105" i="4" s="1"/>
  <c r="D106" i="4" l="1"/>
  <c r="E106" i="4"/>
  <c r="C106" i="4"/>
  <c r="F106" i="4" s="1"/>
  <c r="G106" i="4" s="1"/>
  <c r="H106" i="4" s="1"/>
  <c r="B106" i="4"/>
  <c r="E107" i="4" l="1"/>
  <c r="B107" i="4"/>
  <c r="F107" i="4"/>
  <c r="G107" i="4" s="1"/>
  <c r="H107" i="4" s="1"/>
  <c r="D107" i="4"/>
  <c r="C107" i="4"/>
  <c r="C108" i="4" l="1"/>
  <c r="B108" i="4"/>
  <c r="D108" i="4"/>
  <c r="F108" i="4" s="1"/>
  <c r="G108" i="4" s="1"/>
  <c r="H108" i="4" s="1"/>
  <c r="D109" i="4" l="1"/>
  <c r="C109" i="4"/>
  <c r="B109" i="4"/>
  <c r="F109" i="4"/>
  <c r="G109" i="4" s="1"/>
  <c r="H109" i="4" s="1"/>
  <c r="E108" i="4"/>
  <c r="E109" i="4" s="1"/>
  <c r="D110" i="4" l="1"/>
  <c r="E110" i="4" s="1"/>
  <c r="C110" i="4"/>
  <c r="B110" i="4"/>
  <c r="F110" i="4"/>
  <c r="G110" i="4" s="1"/>
  <c r="H110" i="4" s="1"/>
  <c r="D111" i="4" l="1"/>
  <c r="E111" i="4" s="1"/>
  <c r="C111" i="4"/>
  <c r="F111" i="4" s="1"/>
  <c r="G111" i="4" s="1"/>
  <c r="H111" i="4" s="1"/>
  <c r="B111" i="4"/>
  <c r="B112" i="4" l="1"/>
  <c r="D112" i="4"/>
  <c r="E112" i="4" s="1"/>
  <c r="C112" i="4"/>
  <c r="F112" i="4" s="1"/>
  <c r="G112" i="4" s="1"/>
  <c r="H112" i="4" s="1"/>
  <c r="C113" i="4" l="1"/>
  <c r="F113" i="4" s="1"/>
  <c r="G113" i="4" s="1"/>
  <c r="H113" i="4" s="1"/>
  <c r="D113" i="4"/>
  <c r="E113" i="4" s="1"/>
  <c r="B113" i="4"/>
  <c r="D114" i="4" l="1"/>
  <c r="E114" i="4" s="1"/>
  <c r="F114" i="4"/>
  <c r="G114" i="4" s="1"/>
  <c r="H114" i="4" s="1"/>
  <c r="B114" i="4"/>
  <c r="C114" i="4"/>
  <c r="B115" i="4" l="1"/>
  <c r="D115" i="4"/>
  <c r="E115" i="4" s="1"/>
  <c r="C115" i="4"/>
  <c r="F115" i="4" s="1"/>
  <c r="G115" i="4" s="1"/>
  <c r="H115" i="4" s="1"/>
  <c r="C116" i="4" l="1"/>
  <c r="F116" i="4" s="1"/>
  <c r="G116" i="4" s="1"/>
  <c r="H116" i="4" s="1"/>
  <c r="B116" i="4"/>
  <c r="E116" i="4"/>
  <c r="D116" i="4"/>
  <c r="D117" i="4" l="1"/>
  <c r="C117" i="4"/>
  <c r="B117" i="4"/>
  <c r="F117" i="4"/>
  <c r="G117" i="4" s="1"/>
  <c r="H117" i="4" s="1"/>
  <c r="E117" i="4"/>
  <c r="E118" i="4" l="1"/>
  <c r="D118" i="4"/>
  <c r="C118" i="4"/>
  <c r="B118" i="4"/>
  <c r="F118" i="4"/>
  <c r="G118" i="4" s="1"/>
  <c r="H118" i="4" s="1"/>
  <c r="D119" i="4" l="1"/>
  <c r="E119" i="4" s="1"/>
  <c r="C119" i="4"/>
  <c r="F119" i="4" s="1"/>
  <c r="G119" i="4" s="1"/>
  <c r="H119" i="4" s="1"/>
  <c r="B119" i="4"/>
  <c r="B120" i="4" l="1"/>
  <c r="D120" i="4"/>
  <c r="E120" i="4" s="1"/>
  <c r="C120" i="4"/>
  <c r="F120" i="4" s="1"/>
  <c r="G120" i="4" s="1"/>
  <c r="H120" i="4" s="1"/>
  <c r="C121" i="4" l="1"/>
  <c r="D121" i="4"/>
  <c r="F121" i="4" s="1"/>
  <c r="G121" i="4" s="1"/>
  <c r="H121" i="4" s="1"/>
  <c r="B121" i="4"/>
  <c r="D122" i="4" l="1"/>
  <c r="C122" i="4"/>
  <c r="F122" i="4" s="1"/>
  <c r="G122" i="4" s="1"/>
  <c r="H122" i="4" s="1"/>
  <c r="B122" i="4"/>
  <c r="E121" i="4"/>
  <c r="E122" i="4" s="1"/>
  <c r="B123" i="4" l="1"/>
  <c r="C123" i="4"/>
  <c r="F123" i="4" s="1"/>
  <c r="G123" i="4" s="1"/>
  <c r="H123" i="4" s="1"/>
  <c r="D123" i="4"/>
  <c r="E123" i="4" s="1"/>
  <c r="C124" i="4" l="1"/>
  <c r="F124" i="4" s="1"/>
  <c r="G124" i="4" s="1"/>
  <c r="H124" i="4" s="1"/>
  <c r="B124" i="4"/>
  <c r="E124" i="4"/>
  <c r="D124" i="4"/>
  <c r="D125" i="4" l="1"/>
  <c r="C125" i="4"/>
  <c r="B125" i="4"/>
  <c r="F125" i="4"/>
  <c r="G125" i="4" s="1"/>
  <c r="H125" i="4" s="1"/>
  <c r="E125" i="4"/>
  <c r="D126" i="4" l="1"/>
  <c r="E126" i="4" s="1"/>
  <c r="C126" i="4"/>
  <c r="B126" i="4"/>
  <c r="F126" i="4"/>
  <c r="G126" i="4" s="1"/>
  <c r="H126" i="4" s="1"/>
  <c r="D127" i="4" l="1"/>
  <c r="E127" i="4" s="1"/>
  <c r="C127" i="4"/>
  <c r="F127" i="4" s="1"/>
  <c r="G127" i="4" s="1"/>
  <c r="H127" i="4" s="1"/>
  <c r="B127" i="4"/>
  <c r="B128" i="4" l="1"/>
  <c r="D128" i="4"/>
  <c r="E128" i="4" s="1"/>
  <c r="C128" i="4"/>
  <c r="F128" i="4" s="1"/>
  <c r="G128" i="4" s="1"/>
  <c r="H128" i="4" s="1"/>
  <c r="C129" i="4" l="1"/>
  <c r="B129" i="4"/>
  <c r="D129" i="4"/>
  <c r="F129" i="4" s="1"/>
  <c r="G129" i="4" s="1"/>
  <c r="H129" i="4" s="1"/>
  <c r="D130" i="4" l="1"/>
  <c r="C130" i="4"/>
  <c r="F130" i="4" s="1"/>
  <c r="G130" i="4" s="1"/>
  <c r="H130" i="4" s="1"/>
  <c r="B130" i="4"/>
  <c r="E129" i="4"/>
  <c r="E130" i="4" s="1"/>
  <c r="C131" i="4" l="1"/>
  <c r="B131" i="4"/>
  <c r="D131" i="4"/>
  <c r="E131" i="4" s="1"/>
  <c r="F131" i="4" l="1"/>
  <c r="G131" i="4" s="1"/>
  <c r="H131" i="4" s="1"/>
  <c r="E132" i="4" l="1"/>
  <c r="D132" i="4"/>
  <c r="C132" i="4"/>
  <c r="F132" i="4" s="1"/>
  <c r="G132" i="4" s="1"/>
  <c r="H132" i="4" s="1"/>
  <c r="B132" i="4"/>
  <c r="E133" i="4" l="1"/>
  <c r="D133" i="4"/>
  <c r="C133" i="4"/>
  <c r="F133" i="4" s="1"/>
  <c r="G133" i="4" s="1"/>
  <c r="H133" i="4" s="1"/>
  <c r="B133" i="4"/>
  <c r="D134" i="4" l="1"/>
  <c r="E134" i="4" s="1"/>
  <c r="C134" i="4"/>
  <c r="F134" i="4" s="1"/>
  <c r="G134" i="4" s="1"/>
  <c r="H134" i="4" s="1"/>
  <c r="B134" i="4"/>
  <c r="D135" i="4" l="1"/>
  <c r="E135" i="4" s="1"/>
  <c r="C135" i="4"/>
  <c r="F135" i="4" s="1"/>
  <c r="G135" i="4" s="1"/>
  <c r="H135" i="4" s="1"/>
  <c r="B135" i="4"/>
  <c r="B136" i="4" l="1"/>
  <c r="E136" i="4"/>
  <c r="D136" i="4"/>
  <c r="C136" i="4"/>
  <c r="F136" i="4" s="1"/>
  <c r="G136" i="4" s="1"/>
  <c r="H136" i="4" s="1"/>
  <c r="C137" i="4" l="1"/>
  <c r="B137" i="4"/>
  <c r="D137" i="4"/>
  <c r="F137" i="4" s="1"/>
  <c r="G137" i="4" s="1"/>
  <c r="H137" i="4" s="1"/>
  <c r="D138" i="4" l="1"/>
  <c r="C138" i="4"/>
  <c r="B138" i="4"/>
  <c r="F138" i="4"/>
  <c r="G138" i="4" s="1"/>
  <c r="H138" i="4" s="1"/>
  <c r="E137" i="4"/>
  <c r="E138" i="4" s="1"/>
  <c r="D139" i="4" l="1"/>
  <c r="E139" i="4" s="1"/>
  <c r="C139" i="4"/>
  <c r="B139" i="4"/>
  <c r="F139" i="4"/>
  <c r="G139" i="4" s="1"/>
  <c r="H139" i="4" s="1"/>
  <c r="D140" i="4" l="1"/>
  <c r="E140" i="4" s="1"/>
  <c r="C140" i="4"/>
  <c r="F140" i="4" s="1"/>
  <c r="G140" i="4" s="1"/>
  <c r="H140" i="4" s="1"/>
  <c r="B140" i="4"/>
  <c r="D141" i="4" l="1"/>
  <c r="E141" i="4" s="1"/>
  <c r="C141" i="4"/>
  <c r="F141" i="4" s="1"/>
  <c r="G141" i="4" s="1"/>
  <c r="H141" i="4" s="1"/>
  <c r="B141" i="4"/>
  <c r="D142" i="4" l="1"/>
  <c r="E142" i="4" s="1"/>
  <c r="C142" i="4"/>
  <c r="F142" i="4" s="1"/>
  <c r="G142" i="4" s="1"/>
  <c r="H142" i="4" s="1"/>
  <c r="B142" i="4"/>
  <c r="D143" i="4" l="1"/>
  <c r="E143" i="4" s="1"/>
  <c r="C143" i="4"/>
  <c r="F143" i="4" s="1"/>
  <c r="G143" i="4" s="1"/>
  <c r="H143" i="4" s="1"/>
  <c r="B143" i="4"/>
  <c r="B144" i="4" l="1"/>
  <c r="E144" i="4"/>
  <c r="D144" i="4"/>
  <c r="C144" i="4"/>
  <c r="F144" i="4" s="1"/>
  <c r="G144" i="4" s="1"/>
  <c r="H144" i="4" s="1"/>
  <c r="C145" i="4" l="1"/>
  <c r="B145" i="4"/>
  <c r="E145" i="4"/>
  <c r="D145" i="4"/>
  <c r="F145" i="4" s="1"/>
  <c r="G145" i="4" s="1"/>
  <c r="H145" i="4" s="1"/>
  <c r="D146" i="4" l="1"/>
  <c r="C146" i="4"/>
  <c r="B146" i="4"/>
  <c r="G146" i="4"/>
  <c r="H146" i="4" s="1"/>
  <c r="F146" i="4"/>
  <c r="E146" i="4"/>
  <c r="D147" i="4" l="1"/>
  <c r="E147" i="4" s="1"/>
  <c r="C147" i="4"/>
  <c r="B147" i="4"/>
  <c r="F147" i="4"/>
  <c r="G147" i="4" s="1"/>
  <c r="H147" i="4" s="1"/>
  <c r="D148" i="4" l="1"/>
  <c r="E148" i="4" s="1"/>
  <c r="C148" i="4"/>
  <c r="F148" i="4" s="1"/>
  <c r="G148" i="4" s="1"/>
  <c r="H148" i="4" s="1"/>
  <c r="B148" i="4"/>
  <c r="D149" i="4" l="1"/>
  <c r="E149" i="4" s="1"/>
  <c r="C149" i="4"/>
  <c r="F149" i="4" s="1"/>
  <c r="G149" i="4" s="1"/>
  <c r="H149" i="4" s="1"/>
  <c r="B149" i="4"/>
  <c r="D150" i="4" l="1"/>
  <c r="E150" i="4" s="1"/>
  <c r="C150" i="4"/>
  <c r="F150" i="4" s="1"/>
  <c r="G150" i="4" s="1"/>
  <c r="H150" i="4" s="1"/>
  <c r="B150" i="4"/>
  <c r="D151" i="4" l="1"/>
  <c r="E151" i="4" s="1"/>
  <c r="C151" i="4"/>
  <c r="F151" i="4" s="1"/>
  <c r="G151" i="4" s="1"/>
  <c r="H151" i="4" s="1"/>
  <c r="B151" i="4"/>
  <c r="B152" i="4" l="1"/>
  <c r="E152" i="4"/>
  <c r="D152" i="4"/>
  <c r="C152" i="4"/>
  <c r="F152" i="4" s="1"/>
  <c r="G152" i="4" s="1"/>
  <c r="H152" i="4" s="1"/>
  <c r="C153" i="4" l="1"/>
  <c r="B153" i="4"/>
  <c r="D153" i="4"/>
  <c r="E153" i="4" s="1"/>
  <c r="F153" i="4" l="1"/>
  <c r="G153" i="4" s="1"/>
  <c r="H153" i="4" s="1"/>
  <c r="D154" i="4" l="1"/>
  <c r="C154" i="4"/>
  <c r="B154" i="4"/>
  <c r="G154" i="4"/>
  <c r="H154" i="4" s="1"/>
  <c r="F154" i="4"/>
  <c r="E154" i="4"/>
  <c r="D155" i="4" l="1"/>
  <c r="E155" i="4" s="1"/>
  <c r="C155" i="4"/>
  <c r="B155" i="4"/>
  <c r="F155" i="4"/>
  <c r="G155" i="4" s="1"/>
  <c r="H155" i="4" s="1"/>
  <c r="E156" i="4" l="1"/>
  <c r="D156" i="4"/>
  <c r="C156" i="4"/>
  <c r="F156" i="4" s="1"/>
  <c r="G156" i="4" s="1"/>
  <c r="H156" i="4" s="1"/>
  <c r="B156" i="4"/>
  <c r="E157" i="4" l="1"/>
  <c r="D157" i="4"/>
  <c r="C157" i="4"/>
  <c r="F157" i="4" s="1"/>
  <c r="G157" i="4" s="1"/>
  <c r="H157" i="4" s="1"/>
  <c r="B157" i="4"/>
  <c r="D158" i="4" l="1"/>
  <c r="E158" i="4" s="1"/>
  <c r="C158" i="4"/>
  <c r="F158" i="4" s="1"/>
  <c r="G158" i="4" s="1"/>
  <c r="H158" i="4" s="1"/>
  <c r="B158" i="4"/>
  <c r="D159" i="4" l="1"/>
  <c r="E159" i="4" s="1"/>
  <c r="C159" i="4"/>
  <c r="F159" i="4" s="1"/>
  <c r="G159" i="4" s="1"/>
  <c r="H159" i="4" s="1"/>
  <c r="B159" i="4"/>
  <c r="B160" i="4" l="1"/>
  <c r="E160" i="4"/>
  <c r="D160" i="4"/>
  <c r="C160" i="4"/>
  <c r="F160" i="4" s="1"/>
  <c r="G160" i="4" s="1"/>
  <c r="H160" i="4" s="1"/>
  <c r="C161" i="4" l="1"/>
  <c r="B161" i="4"/>
  <c r="D161" i="4"/>
  <c r="F161" i="4" s="1"/>
  <c r="G161" i="4" s="1"/>
  <c r="H161" i="4" s="1"/>
  <c r="D162" i="4" l="1"/>
  <c r="C162" i="4"/>
  <c r="B162" i="4"/>
  <c r="F162" i="4"/>
  <c r="G162" i="4" s="1"/>
  <c r="H162" i="4" s="1"/>
  <c r="E161" i="4"/>
  <c r="E162" i="4" s="1"/>
  <c r="D163" i="4" l="1"/>
  <c r="E163" i="4" s="1"/>
  <c r="C163" i="4"/>
  <c r="B163" i="4"/>
  <c r="F163" i="4"/>
  <c r="G163" i="4" s="1"/>
  <c r="H163" i="4" s="1"/>
  <c r="D164" i="4" l="1"/>
  <c r="E164" i="4" s="1"/>
  <c r="C164" i="4"/>
  <c r="F164" i="4" s="1"/>
  <c r="G164" i="4" s="1"/>
  <c r="H164" i="4" s="1"/>
  <c r="B164" i="4"/>
  <c r="D165" i="4" l="1"/>
  <c r="E165" i="4" s="1"/>
  <c r="C165" i="4"/>
  <c r="F165" i="4" s="1"/>
  <c r="G165" i="4" s="1"/>
  <c r="H165" i="4" s="1"/>
  <c r="B165" i="4"/>
  <c r="E166" i="4" l="1"/>
  <c r="D166" i="4"/>
  <c r="C166" i="4"/>
  <c r="F166" i="4" s="1"/>
  <c r="G166" i="4" s="1"/>
  <c r="H166" i="4" s="1"/>
  <c r="B166" i="4"/>
  <c r="D167" i="4" l="1"/>
  <c r="E167" i="4" s="1"/>
  <c r="C167" i="4"/>
  <c r="F167" i="4" s="1"/>
  <c r="G167" i="4" s="1"/>
  <c r="H167" i="4" s="1"/>
  <c r="B167" i="4"/>
  <c r="B168" i="4" l="1"/>
  <c r="D168" i="4"/>
  <c r="E168" i="4" s="1"/>
  <c r="C168" i="4"/>
  <c r="F168" i="4" s="1"/>
  <c r="G168" i="4" s="1"/>
  <c r="H168" i="4" s="1"/>
  <c r="C169" i="4" l="1"/>
  <c r="B169" i="4"/>
  <c r="D169" i="4"/>
  <c r="F169" i="4" s="1"/>
  <c r="G169" i="4" s="1"/>
  <c r="H169" i="4" s="1"/>
  <c r="D170" i="4" l="1"/>
  <c r="C170" i="4"/>
  <c r="B170" i="4"/>
  <c r="F170" i="4"/>
  <c r="G170" i="4" s="1"/>
  <c r="H170" i="4" s="1"/>
  <c r="E169" i="4"/>
  <c r="E170" i="4" s="1"/>
  <c r="D171" i="4" l="1"/>
  <c r="E171" i="4" s="1"/>
  <c r="C171" i="4"/>
  <c r="B171" i="4"/>
  <c r="F171" i="4"/>
  <c r="G171" i="4" s="1"/>
  <c r="H171" i="4" s="1"/>
  <c r="E172" i="4" l="1"/>
  <c r="D172" i="4"/>
  <c r="C172" i="4"/>
  <c r="F172" i="4" s="1"/>
  <c r="G172" i="4" s="1"/>
  <c r="H172" i="4" s="1"/>
  <c r="B172" i="4"/>
  <c r="D173" i="4" l="1"/>
  <c r="E173" i="4" s="1"/>
  <c r="C173" i="4"/>
  <c r="F173" i="4" s="1"/>
  <c r="G173" i="4" s="1"/>
  <c r="H173" i="4" s="1"/>
  <c r="B173" i="4"/>
  <c r="D174" i="4" l="1"/>
  <c r="E174" i="4" s="1"/>
  <c r="C174" i="4"/>
  <c r="F174" i="4" s="1"/>
  <c r="G174" i="4" s="1"/>
  <c r="H174" i="4" s="1"/>
  <c r="B174" i="4"/>
  <c r="D175" i="4" l="1"/>
  <c r="E175" i="4" s="1"/>
  <c r="C175" i="4"/>
  <c r="F175" i="4" s="1"/>
  <c r="G175" i="4" s="1"/>
  <c r="H175" i="4" s="1"/>
  <c r="B175" i="4"/>
  <c r="B176" i="4" l="1"/>
  <c r="E176" i="4"/>
  <c r="D176" i="4"/>
  <c r="C176" i="4"/>
  <c r="F176" i="4" s="1"/>
  <c r="G176" i="4" s="1"/>
  <c r="H176" i="4" s="1"/>
  <c r="C177" i="4" l="1"/>
  <c r="B177" i="4"/>
  <c r="D177" i="4"/>
  <c r="E177" i="4" s="1"/>
  <c r="F177" i="4" l="1"/>
  <c r="G177" i="4" s="1"/>
  <c r="H177" i="4" s="1"/>
  <c r="D178" i="4" l="1"/>
  <c r="C178" i="4"/>
  <c r="B178" i="4"/>
  <c r="F178" i="4"/>
  <c r="G178" i="4" s="1"/>
  <c r="H178" i="4" s="1"/>
  <c r="E178" i="4"/>
  <c r="D179" i="4" l="1"/>
  <c r="E179" i="4" s="1"/>
  <c r="C179" i="4"/>
  <c r="B179" i="4"/>
  <c r="F179" i="4"/>
  <c r="G179" i="4" s="1"/>
  <c r="H179" i="4" s="1"/>
  <c r="D180" i="4" l="1"/>
  <c r="E180" i="4" s="1"/>
  <c r="C180" i="4"/>
  <c r="F180" i="4" s="1"/>
  <c r="G180" i="4" s="1"/>
  <c r="H180" i="4" s="1"/>
  <c r="B180" i="4"/>
  <c r="D181" i="4" l="1"/>
  <c r="E181" i="4" s="1"/>
  <c r="C181" i="4"/>
  <c r="F181" i="4" s="1"/>
  <c r="G181" i="4" s="1"/>
  <c r="H181" i="4" s="1"/>
  <c r="B181" i="4"/>
  <c r="E182" i="4" l="1"/>
  <c r="D182" i="4"/>
  <c r="C182" i="4"/>
  <c r="F182" i="4" s="1"/>
  <c r="G182" i="4" s="1"/>
  <c r="H182" i="4" s="1"/>
  <c r="B182" i="4"/>
  <c r="D183" i="4" l="1"/>
  <c r="E183" i="4" s="1"/>
  <c r="C183" i="4"/>
  <c r="F183" i="4" s="1"/>
  <c r="G183" i="4" s="1"/>
  <c r="H183" i="4" s="1"/>
  <c r="B183" i="4"/>
  <c r="B184" i="4" l="1"/>
  <c r="D184" i="4"/>
  <c r="E184" i="4" s="1"/>
  <c r="C184" i="4"/>
  <c r="F184" i="4" s="1"/>
  <c r="G184" i="4" s="1"/>
  <c r="H184" i="4" s="1"/>
  <c r="C185" i="4" l="1"/>
  <c r="B185" i="4"/>
  <c r="D185" i="4"/>
  <c r="E185" i="4" s="1"/>
  <c r="F185" i="4" l="1"/>
  <c r="G185" i="4" s="1"/>
  <c r="H185" i="4" s="1"/>
  <c r="D186" i="4" l="1"/>
  <c r="C186" i="4"/>
  <c r="B186" i="4"/>
  <c r="F186" i="4"/>
  <c r="G186" i="4" s="1"/>
  <c r="H186" i="4" s="1"/>
  <c r="E186" i="4"/>
  <c r="D187" i="4" l="1"/>
  <c r="E187" i="4" s="1"/>
  <c r="C187" i="4"/>
  <c r="B187" i="4"/>
  <c r="F187" i="4"/>
  <c r="G187" i="4" s="1"/>
  <c r="H187" i="4" s="1"/>
  <c r="D188" i="4" l="1"/>
  <c r="E188" i="4" s="1"/>
  <c r="C188" i="4"/>
  <c r="F188" i="4" s="1"/>
  <c r="G188" i="4" s="1"/>
  <c r="H188" i="4" s="1"/>
  <c r="B188" i="4"/>
  <c r="D189" i="4" l="1"/>
  <c r="E189" i="4" s="1"/>
  <c r="C189" i="4"/>
  <c r="F189" i="4" s="1"/>
  <c r="G189" i="4" s="1"/>
  <c r="H189" i="4" s="1"/>
  <c r="B189" i="4"/>
  <c r="D190" i="4" l="1"/>
  <c r="E190" i="4" s="1"/>
  <c r="C190" i="4"/>
  <c r="F190" i="4" s="1"/>
  <c r="G190" i="4" s="1"/>
  <c r="H190" i="4" s="1"/>
  <c r="B190" i="4"/>
  <c r="D191" i="4" l="1"/>
  <c r="E191" i="4" s="1"/>
  <c r="C191" i="4"/>
  <c r="F191" i="4" s="1"/>
  <c r="G191" i="4" s="1"/>
  <c r="H191" i="4" s="1"/>
  <c r="B191" i="4"/>
  <c r="B192" i="4" l="1"/>
  <c r="D192" i="4"/>
  <c r="E192" i="4" s="1"/>
  <c r="C192" i="4"/>
  <c r="F192" i="4" s="1"/>
  <c r="G192" i="4" s="1"/>
  <c r="H192" i="4" s="1"/>
  <c r="C193" i="4" l="1"/>
  <c r="B193" i="4"/>
  <c r="E193" i="4"/>
  <c r="D193" i="4"/>
  <c r="F193" i="4" s="1"/>
  <c r="G193" i="4" s="1"/>
  <c r="H193" i="4" s="1"/>
  <c r="D194" i="4" l="1"/>
  <c r="C194" i="4"/>
  <c r="B194" i="4"/>
  <c r="F194" i="4"/>
  <c r="G194" i="4" s="1"/>
  <c r="H194" i="4" s="1"/>
  <c r="E194" i="4"/>
  <c r="D195" i="4" l="1"/>
  <c r="E195" i="4" s="1"/>
  <c r="C195" i="4"/>
  <c r="B195" i="4"/>
  <c r="F195" i="4"/>
  <c r="G195" i="4" s="1"/>
  <c r="H195" i="4" s="1"/>
  <c r="D196" i="4" l="1"/>
  <c r="E196" i="4" s="1"/>
  <c r="C196" i="4"/>
  <c r="F196" i="4" s="1"/>
  <c r="G196" i="4" s="1"/>
  <c r="H196" i="4" s="1"/>
  <c r="B196" i="4"/>
  <c r="D197" i="4" l="1"/>
  <c r="E197" i="4" s="1"/>
  <c r="C197" i="4"/>
  <c r="F197" i="4" s="1"/>
  <c r="G197" i="4" s="1"/>
  <c r="H197" i="4" s="1"/>
  <c r="B197" i="4"/>
  <c r="D198" i="4" l="1"/>
  <c r="E198" i="4" s="1"/>
  <c r="C198" i="4"/>
  <c r="F198" i="4" s="1"/>
  <c r="G198" i="4" s="1"/>
  <c r="H198" i="4" s="1"/>
  <c r="B198" i="4"/>
  <c r="G67" i="2"/>
  <c r="H80" i="2" l="1"/>
  <c r="E81" i="2" s="1"/>
  <c r="D2" i="8"/>
  <c r="D4"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<sst xmlns="http://schemas.openxmlformats.org/spreadsheetml/2006/main" count="409" uniqueCount="188">
  <si>
    <t>ACTIF</t>
  </si>
  <si>
    <t>PASSIF</t>
  </si>
  <si>
    <t>TOTAL</t>
  </si>
  <si>
    <t xml:space="preserve">DEPENSES INITIALES </t>
  </si>
  <si>
    <t>15 containers</t>
  </si>
  <si>
    <t>install elec</t>
  </si>
  <si>
    <t>install chauf</t>
  </si>
  <si>
    <t>install solaires</t>
  </si>
  <si>
    <t>matériaux</t>
  </si>
  <si>
    <t>chassis</t>
  </si>
  <si>
    <t>equipement bureautique</t>
  </si>
  <si>
    <t>aménagement terrain</t>
  </si>
  <si>
    <t xml:space="preserve">TVA </t>
  </si>
  <si>
    <t>notaire</t>
  </si>
  <si>
    <t xml:space="preserve">Total dépenses </t>
  </si>
  <si>
    <t>RESSOURCES INITIALES</t>
  </si>
  <si>
    <t>Prêt "Coup de pouce"</t>
  </si>
  <si>
    <t>credit</t>
  </si>
  <si>
    <t xml:space="preserve">Total des ressources </t>
  </si>
  <si>
    <t>Ressources- dépenses initiales</t>
  </si>
  <si>
    <t>Constitution</t>
  </si>
  <si>
    <t># mois</t>
  </si>
  <si>
    <t>Nb locations</t>
  </si>
  <si>
    <t>610 Loyers</t>
  </si>
  <si>
    <t>6110 Entretiens container</t>
  </si>
  <si>
    <t>6111 Nettoyage</t>
  </si>
  <si>
    <t>6120 Eau</t>
  </si>
  <si>
    <t xml:space="preserve">6121 Electricité </t>
  </si>
  <si>
    <t>6123 Fourniture de bureau</t>
  </si>
  <si>
    <t>61310 Assurance incendie</t>
  </si>
  <si>
    <t>61314 Assurance RC</t>
  </si>
  <si>
    <t>61325 Frais d'établissement</t>
  </si>
  <si>
    <t>6140 Publicité réseaux sociaux</t>
  </si>
  <si>
    <t>6200 Rémunération gérant</t>
  </si>
  <si>
    <t>6210 ONSS</t>
  </si>
  <si>
    <t>Nature</t>
  </si>
  <si>
    <t>Valeur d'acquisition</t>
  </si>
  <si>
    <t>Amortissements</t>
  </si>
  <si>
    <t>VA</t>
  </si>
  <si>
    <t>taux</t>
  </si>
  <si>
    <t>ANNEE 2</t>
  </si>
  <si>
    <t>ANNEE 3</t>
  </si>
  <si>
    <t>Immo corp</t>
  </si>
  <si>
    <t>6302 Dot. Amo. Immo corp</t>
  </si>
  <si>
    <t>64010 Précompte immo</t>
  </si>
  <si>
    <t>650 Charge dette fin.</t>
  </si>
  <si>
    <t>versement</t>
  </si>
  <si>
    <t>int cumulés</t>
  </si>
  <si>
    <t>int payés</t>
  </si>
  <si>
    <t>SRD</t>
  </si>
  <si>
    <t>capit remb</t>
  </si>
  <si>
    <t>ech &lt;1 an</t>
  </si>
  <si>
    <t>ech&gt;1an</t>
  </si>
  <si>
    <t>année 1</t>
  </si>
  <si>
    <t>année 2</t>
  </si>
  <si>
    <t>année 3</t>
  </si>
  <si>
    <t>année4</t>
  </si>
  <si>
    <t>année5</t>
  </si>
  <si>
    <t>année6</t>
  </si>
  <si>
    <t>MONTANT:</t>
  </si>
  <si>
    <t>TAUX</t>
  </si>
  <si>
    <t>1+i</t>
  </si>
  <si>
    <t>i</t>
  </si>
  <si>
    <t>Durée :</t>
  </si>
  <si>
    <t>mois</t>
  </si>
  <si>
    <t>Date de conclusion:</t>
  </si>
  <si>
    <t>Remboursement tous les</t>
  </si>
  <si>
    <t>DATE</t>
  </si>
  <si>
    <t>Mensualité</t>
  </si>
  <si>
    <t>intérêt</t>
  </si>
  <si>
    <t>capital</t>
  </si>
  <si>
    <t>cap.cumule</t>
  </si>
  <si>
    <t>solde</t>
  </si>
  <si>
    <t>Année 1</t>
  </si>
  <si>
    <t>Année 2</t>
  </si>
  <si>
    <t>Année 3</t>
  </si>
  <si>
    <t>Résultat de l'exercice avant impot</t>
  </si>
  <si>
    <t xml:space="preserve">Résultat d'exploitation </t>
  </si>
  <si>
    <t>Resultat de l'exercice</t>
  </si>
  <si>
    <t>Résultat de l'exercice à affecter</t>
  </si>
  <si>
    <t>Résultat à reporter</t>
  </si>
  <si>
    <t>Impôts (20%)</t>
  </si>
  <si>
    <t>Résultat à affecter</t>
  </si>
  <si>
    <t>Résultat reporté de l'exercice précédent</t>
  </si>
  <si>
    <t>FR</t>
  </si>
  <si>
    <t>BFR</t>
  </si>
  <si>
    <t>T</t>
  </si>
  <si>
    <t>HT</t>
  </si>
  <si>
    <t>TVA</t>
  </si>
  <si>
    <t>TVAC</t>
  </si>
  <si>
    <t>Encaissement trésorerie à 30j fin de mois</t>
  </si>
  <si>
    <t>Exploitation ventes</t>
  </si>
  <si>
    <t>Exploitation frais généraux</t>
  </si>
  <si>
    <t>Décaissement trésorerie à 30j fin de mois</t>
  </si>
  <si>
    <t>TVA s/ ventes</t>
  </si>
  <si>
    <t>TVA s/ achats</t>
  </si>
  <si>
    <t>TVA s/ frais</t>
  </si>
  <si>
    <t>TVA s/ invest</t>
  </si>
  <si>
    <t>TVA DECAISSEE</t>
  </si>
  <si>
    <t>TVA A DECAISSER (à encaisser si négatif)</t>
  </si>
  <si>
    <t xml:space="preserve">Décaissement trésorerie </t>
  </si>
  <si>
    <t>Brut</t>
  </si>
  <si>
    <t>Cotisation soc.</t>
  </si>
  <si>
    <t>Net</t>
  </si>
  <si>
    <t>#mois</t>
  </si>
  <si>
    <t>Exploitation salaire &amp; ONSS</t>
  </si>
  <si>
    <t>Coti. Soc.</t>
  </si>
  <si>
    <t>Capital remboursé</t>
  </si>
  <si>
    <t>Intérêts</t>
  </si>
  <si>
    <t>Décaissement emprunt 150k</t>
  </si>
  <si>
    <t xml:space="preserve"> </t>
  </si>
  <si>
    <t>Budget de trésorerie globale pour l'année 1</t>
  </si>
  <si>
    <t>Solde trésorerie début de période</t>
  </si>
  <si>
    <t>+ encaissements</t>
  </si>
  <si>
    <t>Sur créances clients</t>
  </si>
  <si>
    <t>Sur emprunt souscrit</t>
  </si>
  <si>
    <t>- décaissements</t>
  </si>
  <si>
    <t>Sur achat</t>
  </si>
  <si>
    <t>Sur frais généraux</t>
  </si>
  <si>
    <t>Sur salaire</t>
  </si>
  <si>
    <t>Sur charges sociales</t>
  </si>
  <si>
    <t>Sur échéances d'emprunt</t>
  </si>
  <si>
    <t>Sur TVA à décaisser</t>
  </si>
  <si>
    <t>Sur impôt et taxes</t>
  </si>
  <si>
    <t>= solde trésorerie en fin de période</t>
  </si>
  <si>
    <t>601 Achat fournitures</t>
  </si>
  <si>
    <t>Actif immobilisé</t>
  </si>
  <si>
    <t>Immobilisations corporelles</t>
  </si>
  <si>
    <t>Actif Circulant</t>
  </si>
  <si>
    <t>Amo</t>
  </si>
  <si>
    <t>Stocks</t>
  </si>
  <si>
    <t>Créances clients</t>
  </si>
  <si>
    <t>Disponibilités</t>
  </si>
  <si>
    <t>Capitaux propres</t>
  </si>
  <si>
    <t>Capital social</t>
  </si>
  <si>
    <t>Résultat de l'exercice</t>
  </si>
  <si>
    <t>Dettes</t>
  </si>
  <si>
    <t>Dettes financières</t>
  </si>
  <si>
    <t>Dettes fournisseurs</t>
  </si>
  <si>
    <t>Dettes fiscales</t>
  </si>
  <si>
    <t>TVA à décaisser</t>
  </si>
  <si>
    <t>Impôts</t>
  </si>
  <si>
    <t>TOTAL ACTIF</t>
  </si>
  <si>
    <t>TOTAL PASSIF</t>
  </si>
  <si>
    <t>Sur investissement</t>
  </si>
  <si>
    <t>700 Ventes (400€TVAC loyer)</t>
  </si>
  <si>
    <t xml:space="preserve">Report Bilan </t>
  </si>
  <si>
    <t>Report Bilan</t>
  </si>
  <si>
    <t>Report Bilan (SRD)</t>
  </si>
  <si>
    <t>Apport fondateur</t>
  </si>
  <si>
    <t>Investissement HT</t>
  </si>
  <si>
    <t>Besoin de fonds</t>
  </si>
  <si>
    <t>Rempoursement emprunt (150k)</t>
  </si>
  <si>
    <t>Total besoin</t>
  </si>
  <si>
    <t>Ressources de fond</t>
  </si>
  <si>
    <t>Emprunt souscris</t>
  </si>
  <si>
    <t>Total ressources</t>
  </si>
  <si>
    <t>Solde (ressources - besoins)</t>
  </si>
  <si>
    <t>Solde cumulé</t>
  </si>
  <si>
    <t>Budget de TVA année 1</t>
  </si>
  <si>
    <t>Budget de trésorerie globale pour l'année 2</t>
  </si>
  <si>
    <t>Budget de TVA année 2</t>
  </si>
  <si>
    <t>Budget de TVA année 3</t>
  </si>
  <si>
    <t>Budget de trésorerie globale pour l'année 3</t>
  </si>
  <si>
    <t>Réserve légale</t>
  </si>
  <si>
    <t>Vérification :</t>
  </si>
  <si>
    <t>Apport en capital</t>
  </si>
  <si>
    <t>600 Achat matière première</t>
  </si>
  <si>
    <t>6090 Variation stock MP</t>
  </si>
  <si>
    <t>Charges d'exploitation</t>
  </si>
  <si>
    <t>Produits d'exploitation</t>
  </si>
  <si>
    <t>Total produits d'exploitation</t>
  </si>
  <si>
    <t>Total charges d'exploitation</t>
  </si>
  <si>
    <t>61321 Honoraire comptable</t>
  </si>
  <si>
    <t>Dotation réserve légale</t>
  </si>
  <si>
    <t>61 Services et biens divers</t>
  </si>
  <si>
    <t>Détaillé</t>
  </si>
  <si>
    <t>Résumé</t>
  </si>
  <si>
    <t>Variation BFR</t>
  </si>
  <si>
    <t>Capacité d'autofinancement</t>
  </si>
  <si>
    <t>Quantité vendue</t>
  </si>
  <si>
    <t>Coûts direct</t>
  </si>
  <si>
    <t>Coûts fixes</t>
  </si>
  <si>
    <t>=</t>
  </si>
  <si>
    <t>Prix (à déterminer)</t>
  </si>
  <si>
    <t>Durée</t>
  </si>
  <si>
    <t>20 ans</t>
  </si>
  <si>
    <t>ANNEE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</si>
</sst>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 &quot;€&quot;"/>
    <numFmt numFmtId="165" formatCode="#,##0;\(#,##0\)"/>
    <numFmt numFmtId="166" formatCode="0&quot; F&quot;"/>
    <numFmt numFmtId="167" formatCode="_-* #,##0.00\ [$€-80C]_-;\-* #,##0.00\ [$€-80C]_-;_-* &quot;-&quot;??\ [$€-80C]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8"/>
      <color theme="1"/>
      <name val="Calibri"/>
      <family val="2"/>
      <scheme val="minor"/>
    </font>
    <font>
      <b/>
      <sz val="10"/>
      <name val="MS Reference Sans Serif"/>
      <family val="2"/>
    </font>
    <font>
      <sz val="11"/>
      <color theme="1"/>
      <name val="MS Reference Sans Serif"/>
      <family val="2"/>
    </font>
    <font>
      <sz val="10"/>
      <name val="MS Reference Sans Serif"/>
      <family val="2"/>
    </font>
    <font>
      <b/>
      <sz val="11"/>
      <color theme="1"/>
      <name val="MS Reference Sans Serif"/>
      <family val="2"/>
    </font>
    <font>
      <b/>
      <sz val="10"/>
      <name val="MS Sans Serif"/>
    </font>
    <font>
      <sz val="11"/>
      <name val="MS Reference Sans Serif"/>
      <family val="2"/>
    </font>
    <font>
      <b/>
      <sz val="11"/>
      <name val="MS Reference Sans Serif"/>
      <family val="2"/>
    </font>
    <font>
      <sz val="9"/>
      <name val="MS Sans Serif"/>
    </font>
    <font>
      <sz val="10"/>
      <name val="Times New Roman"/>
      <family val="1"/>
    </font>
    <font>
      <sz val="11"/>
      <name val="Times New Roman"/>
      <family val="1"/>
    </font>
    <font>
      <b/>
      <sz val="11"/>
      <name val="Times New Roman"/>
      <family val="1"/>
    </font>
    <font>
      <sz val="10"/>
      <name val="MS Sans Serif"/>
    </font>
    <font>
      <b/>
      <u/>
      <sz val="10"/>
      <name val="MS Sans Serif"/>
    </font>
    <font>
      <b/>
      <u/>
      <sz val="12"/>
      <name val="MS Sans Serif"/>
    </font>
    <font>
      <sz val="8"/>
      <name val="MS Sans Serif"/>
    </font>
    <font>
      <b/>
      <sz val="10"/>
      <color indexed="10"/>
      <name val="MS Sans Serif"/>
    </font>
    <font>
      <b/>
      <sz val="10"/>
      <color indexed="12"/>
      <name val="MS Sans Serif"/>
    </font>
    <font>
      <sz val="8"/>
      <color indexed="9"/>
      <name val="MS Sans Serif"/>
    </font>
    <font>
      <sz val="10"/>
      <color indexed="8"/>
      <name val="MS Sans Serif"/>
    </font>
    <font>
      <i/>
      <sz val="11"/>
      <color theme="1"/>
      <name val="Calibri"/>
      <family val="2"/>
      <scheme val="minor"/>
    </font>
    <font>
      <b/>
      <sz val="12"/>
      <color theme="1"/>
      <name val="Calibri"/>
      <family val="2"/>
      <scheme val="minor"/>
    </font>
    <font>
      <b/>
      <sz val="14"/>
      <color theme="1"/>
      <name val="Calibri"/>
      <family val="2"/>
      <scheme val="minor"/>
    </font>
    <font>
      <b/>
      <sz val="14"/>
      <name val="Calibri"/>
      <family val="2"/>
      <scheme val="minor"/>
    </font>
    <font>
      <b/>
      <u/>
      <sz val="11"/>
      <color theme="1"/>
      <name val="Calibri"/>
      <family val="2"/>
      <scheme val="minor"/>
    </font>
    <font>
      <i/>
      <sz val="9"/>
      <color theme="1"/>
      <name val="Calibri"/>
      <family val="2"/>
      <scheme val="minor"/>
    </font>
    <font>
      <sz val="10"/>
      <color theme="1"/>
      <name val="Calibri"/>
      <family val="2"/>
      <scheme val="minor"/>
    </font>
    <font>
      <b/>
      <sz val="16"/>
      <color theme="1"/>
      <name val="Calibri"/>
      <family val="2"/>
      <scheme val="minor"/>
    </font>
    <font>
      <u/>
      <sz val="11"/>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s>
  <borders count="18">
    <border>
      <left/>
      <right/>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165" fontId="16" fillId="0" borderId="0"/>
  </cellStyleXfs>
  <cellXfs count="206">
    <xf numFmtId="0" fontId="0" fillId="0" borderId="0" xfId="0"/>
    <xf numFmtId="3" fontId="0" fillId="0" borderId="0" xfId="0" applyNumberFormat="1"/>
    <xf numFmtId="3" fontId="2" fillId="0" borderId="0" xfId="0" applyNumberFormat="1" applyFont="1"/>
    <xf numFmtId="3" fontId="0" fillId="0" borderId="1" xfId="0" applyNumberFormat="1" applyBorder="1"/>
    <xf numFmtId="3" fontId="0" fillId="0" borderId="4" xfId="0" applyNumberFormat="1" applyBorder="1"/>
    <xf numFmtId="0" fontId="5" fillId="0" borderId="5" xfId="0" applyFont="1" applyBorder="1"/>
    <xf numFmtId="0" fontId="5" fillId="0" borderId="6" xfId="0" applyFont="1" applyBorder="1"/>
    <xf numFmtId="0" fontId="0" fillId="0" borderId="6" xfId="0" applyBorder="1"/>
    <xf numFmtId="3" fontId="6" fillId="0" borderId="7" xfId="0" applyNumberFormat="1" applyFont="1" applyBorder="1"/>
    <xf numFmtId="0" fontId="7" fillId="0" borderId="1" xfId="0" applyFont="1" applyBorder="1"/>
    <xf numFmtId="0" fontId="7" fillId="0" borderId="0" xfId="0" applyFont="1"/>
    <xf numFmtId="3" fontId="6" fillId="0" borderId="4" xfId="0" applyNumberFormat="1" applyFont="1" applyBorder="1"/>
    <xf numFmtId="0" fontId="8" fillId="0" borderId="3" xfId="0" applyFont="1" applyBorder="1"/>
    <xf numFmtId="0" fontId="7" fillId="0" borderId="2" xfId="0" applyFont="1" applyBorder="1"/>
    <xf numFmtId="0" fontId="0" fillId="0" borderId="2" xfId="0" applyBorder="1"/>
    <xf numFmtId="164" fontId="8" fillId="0" borderId="8" xfId="0" applyNumberFormat="1" applyFont="1" applyBorder="1"/>
    <xf numFmtId="3" fontId="6" fillId="0" borderId="0" xfId="0" applyNumberFormat="1" applyFont="1"/>
    <xf numFmtId="0" fontId="9" fillId="0" borderId="6" xfId="0" applyFont="1" applyBorder="1"/>
    <xf numFmtId="3" fontId="8" fillId="0" borderId="7" xfId="0" applyNumberFormat="1" applyFont="1" applyBorder="1"/>
    <xf numFmtId="0" fontId="10" fillId="0" borderId="1" xfId="0" applyFont="1" applyBorder="1"/>
    <xf numFmtId="3" fontId="10" fillId="0" borderId="4" xfId="0" applyNumberFormat="1" applyFont="1" applyBorder="1"/>
    <xf numFmtId="3" fontId="7" fillId="0" borderId="4" xfId="0" applyNumberFormat="1" applyFont="1" applyBorder="1"/>
    <xf numFmtId="0" fontId="11" fillId="0" borderId="3" xfId="0" applyFont="1" applyBorder="1"/>
    <xf numFmtId="0" fontId="5" fillId="0" borderId="2" xfId="0" applyFont="1" applyBorder="1"/>
    <xf numFmtId="0" fontId="9" fillId="0" borderId="2" xfId="0" applyFont="1" applyBorder="1"/>
    <xf numFmtId="164" fontId="11" fillId="0" borderId="8" xfId="0" applyNumberFormat="1" applyFont="1" applyBorder="1"/>
    <xf numFmtId="0" fontId="6" fillId="0" borderId="0" xfId="0" applyFont="1"/>
    <xf numFmtId="0" fontId="8" fillId="0" borderId="9" xfId="0" applyFont="1" applyBorder="1"/>
    <xf numFmtId="0" fontId="7" fillId="0" borderId="10" xfId="0" applyFont="1" applyBorder="1"/>
    <xf numFmtId="0" fontId="0" fillId="0" borderId="10" xfId="0" applyBorder="1"/>
    <xf numFmtId="164" fontId="8" fillId="0" borderId="11" xfId="0" applyNumberFormat="1" applyFont="1" applyBorder="1"/>
    <xf numFmtId="0" fontId="12" fillId="0" borderId="5" xfId="0" applyFont="1" applyBorder="1"/>
    <xf numFmtId="0" fontId="12" fillId="0" borderId="6" xfId="0" applyFont="1" applyBorder="1"/>
    <xf numFmtId="0" fontId="12" fillId="0" borderId="7" xfId="0" applyFont="1" applyBorder="1"/>
    <xf numFmtId="0" fontId="12" fillId="0" borderId="1" xfId="0" applyFont="1" applyBorder="1"/>
    <xf numFmtId="0" fontId="12" fillId="0" borderId="0" xfId="0" applyFont="1"/>
    <xf numFmtId="0" fontId="12" fillId="0" borderId="4" xfId="0" applyFont="1" applyBorder="1"/>
    <xf numFmtId="0" fontId="12" fillId="0" borderId="3" xfId="0" applyFont="1" applyBorder="1"/>
    <xf numFmtId="0" fontId="12" fillId="0" borderId="2" xfId="0" applyFont="1" applyBorder="1"/>
    <xf numFmtId="0" fontId="12" fillId="0" borderId="8" xfId="0" applyFont="1" applyBorder="1"/>
    <xf numFmtId="44" fontId="0" fillId="0" borderId="0" xfId="1" applyFont="1"/>
    <xf numFmtId="44" fontId="0" fillId="0" borderId="0" xfId="0" applyNumberFormat="1"/>
    <xf numFmtId="0" fontId="3" fillId="0" borderId="0" xfId="0" applyFont="1"/>
    <xf numFmtId="44" fontId="3" fillId="0" borderId="0" xfId="0" applyNumberFormat="1" applyFont="1"/>
    <xf numFmtId="0" fontId="13" fillId="0" borderId="9" xfId="0" applyFont="1" applyBorder="1"/>
    <xf numFmtId="0" fontId="13" fillId="0" borderId="10" xfId="0" applyFont="1" applyBorder="1"/>
    <xf numFmtId="0" fontId="13" fillId="0" borderId="10" xfId="0" applyFont="1" applyBorder="1" applyAlignment="1">
      <alignment horizontal="center"/>
    </xf>
    <xf numFmtId="0" fontId="13" fillId="0" borderId="10" xfId="0" applyFont="1" applyBorder="1" applyAlignment="1">
      <alignment horizontal="right"/>
    </xf>
    <xf numFmtId="0" fontId="13" fillId="0" borderId="11" xfId="0" applyFont="1" applyBorder="1" applyAlignment="1">
      <alignment horizontal="right"/>
    </xf>
    <xf numFmtId="0" fontId="14" fillId="0" borderId="5" xfId="0" applyFont="1" applyBorder="1"/>
    <xf numFmtId="0" fontId="14" fillId="0" borderId="6" xfId="0" applyFont="1" applyBorder="1"/>
    <xf numFmtId="3" fontId="14" fillId="0" borderId="6" xfId="0" applyNumberFormat="1" applyFont="1" applyBorder="1"/>
    <xf numFmtId="3" fontId="14" fillId="0" borderId="7" xfId="0" applyNumberFormat="1" applyFont="1" applyBorder="1"/>
    <xf numFmtId="0" fontId="14" fillId="0" borderId="1" xfId="0" applyFont="1" applyBorder="1"/>
    <xf numFmtId="0" fontId="14" fillId="0" borderId="0" xfId="0" applyFont="1"/>
    <xf numFmtId="3" fontId="14" fillId="0" borderId="0" xfId="0" applyNumberFormat="1" applyFont="1"/>
    <xf numFmtId="0" fontId="14" fillId="0" borderId="0" xfId="0" applyFont="1" applyAlignment="1">
      <alignment horizontal="center"/>
    </xf>
    <xf numFmtId="3" fontId="14" fillId="0" borderId="4" xfId="0" applyNumberFormat="1" applyFont="1" applyBorder="1"/>
    <xf numFmtId="0" fontId="14" fillId="0" borderId="1" xfId="0" applyFont="1" applyBorder="1" applyAlignment="1">
      <alignment horizontal="left" indent="3"/>
    </xf>
    <xf numFmtId="0" fontId="14" fillId="0" borderId="4" xfId="0" applyFont="1" applyBorder="1"/>
    <xf numFmtId="0" fontId="14" fillId="0" borderId="9" xfId="0" applyFont="1" applyBorder="1" applyAlignment="1">
      <alignment horizontal="left" indent="3"/>
    </xf>
    <xf numFmtId="0" fontId="15" fillId="0" borderId="10" xfId="0" applyFont="1" applyBorder="1"/>
    <xf numFmtId="3" fontId="14" fillId="0" borderId="10" xfId="0" applyNumberFormat="1" applyFont="1" applyBorder="1"/>
    <xf numFmtId="0" fontId="14" fillId="0" borderId="10" xfId="0" applyFont="1" applyBorder="1"/>
    <xf numFmtId="3" fontId="15" fillId="0" borderId="10" xfId="0" applyNumberFormat="1" applyFont="1" applyBorder="1"/>
    <xf numFmtId="3" fontId="15" fillId="0" borderId="11" xfId="0" applyNumberFormat="1" applyFont="1" applyBorder="1"/>
    <xf numFmtId="165" fontId="16" fillId="0" borderId="12" xfId="2" applyBorder="1"/>
    <xf numFmtId="165" fontId="9" fillId="0" borderId="12" xfId="2" applyFont="1" applyBorder="1" applyAlignment="1">
      <alignment horizontal="center"/>
    </xf>
    <xf numFmtId="165" fontId="9" fillId="0" borderId="12" xfId="2" applyFont="1" applyBorder="1"/>
    <xf numFmtId="1" fontId="16" fillId="0" borderId="12" xfId="2" applyNumberFormat="1" applyBorder="1"/>
    <xf numFmtId="165" fontId="16" fillId="0" borderId="0" xfId="2" applyAlignment="1">
      <alignment horizontal="center"/>
    </xf>
    <xf numFmtId="166" fontId="17" fillId="0" borderId="0" xfId="2" applyNumberFormat="1" applyFont="1" applyAlignment="1">
      <alignment horizontal="centerContinuous"/>
    </xf>
    <xf numFmtId="166" fontId="18" fillId="0" borderId="0" xfId="2" applyNumberFormat="1" applyFont="1" applyAlignment="1">
      <alignment horizontal="centerContinuous"/>
    </xf>
    <xf numFmtId="166" fontId="16" fillId="0" borderId="0" xfId="2" applyNumberFormat="1"/>
    <xf numFmtId="166" fontId="16" fillId="0" borderId="0" xfId="2" applyNumberFormat="1" applyAlignment="1">
      <alignment horizontal="centerContinuous"/>
    </xf>
    <xf numFmtId="166" fontId="16" fillId="0" borderId="0" xfId="2" applyNumberFormat="1" applyAlignment="1">
      <alignment horizontal="right"/>
    </xf>
    <xf numFmtId="165" fontId="16" fillId="0" borderId="0" xfId="2"/>
    <xf numFmtId="166" fontId="19" fillId="0" borderId="13" xfId="2" applyNumberFormat="1" applyFont="1" applyBorder="1"/>
    <xf numFmtId="167" fontId="20" fillId="0" borderId="14" xfId="2" applyNumberFormat="1" applyFont="1" applyBorder="1" applyAlignment="1" applyProtection="1">
      <alignment horizontal="center"/>
      <protection locked="0"/>
    </xf>
    <xf numFmtId="166" fontId="21" fillId="0" borderId="12" xfId="2" applyNumberFormat="1" applyFont="1" applyBorder="1" applyAlignment="1">
      <alignment horizontal="center"/>
    </xf>
    <xf numFmtId="165" fontId="16" fillId="0" borderId="12" xfId="2" applyBorder="1" applyAlignment="1">
      <alignment horizontal="center"/>
    </xf>
    <xf numFmtId="165" fontId="16" fillId="0" borderId="11" xfId="2" applyBorder="1" applyAlignment="1">
      <alignment horizontal="center"/>
    </xf>
    <xf numFmtId="166" fontId="22" fillId="0" borderId="0" xfId="2" applyNumberFormat="1" applyFont="1" applyAlignment="1">
      <alignment horizontal="left"/>
    </xf>
    <xf numFmtId="2" fontId="16" fillId="0" borderId="15" xfId="2" applyNumberFormat="1" applyBorder="1" applyAlignment="1" applyProtection="1">
      <alignment horizontal="center"/>
      <protection locked="0"/>
    </xf>
    <xf numFmtId="165" fontId="16" fillId="0" borderId="12" xfId="2" applyBorder="1" applyProtection="1">
      <protection hidden="1"/>
    </xf>
    <xf numFmtId="165" fontId="16" fillId="0" borderId="11" xfId="2" applyBorder="1" applyProtection="1">
      <protection hidden="1"/>
    </xf>
    <xf numFmtId="1" fontId="16" fillId="0" borderId="0" xfId="2" applyNumberFormat="1" applyAlignment="1" applyProtection="1">
      <alignment horizontal="center"/>
      <protection locked="0"/>
    </xf>
    <xf numFmtId="166" fontId="16" fillId="0" borderId="0" xfId="2" applyNumberFormat="1" applyAlignment="1">
      <alignment horizontal="left"/>
    </xf>
    <xf numFmtId="15" fontId="16" fillId="0" borderId="0" xfId="2" applyNumberFormat="1" applyProtection="1">
      <protection locked="0"/>
    </xf>
    <xf numFmtId="15" fontId="16" fillId="0" borderId="0" xfId="2" applyNumberFormat="1"/>
    <xf numFmtId="166" fontId="0" fillId="0" borderId="0" xfId="2" applyNumberFormat="1" applyFont="1" applyAlignment="1">
      <alignment horizontal="right"/>
    </xf>
    <xf numFmtId="1" fontId="16" fillId="0" borderId="0" xfId="2" applyNumberFormat="1" applyAlignment="1" applyProtection="1">
      <alignment horizontal="centerContinuous"/>
      <protection locked="0"/>
    </xf>
    <xf numFmtId="165" fontId="16" fillId="0" borderId="0" xfId="2" applyAlignment="1">
      <alignment horizontal="centerContinuous"/>
    </xf>
    <xf numFmtId="17" fontId="16" fillId="0" borderId="0" xfId="2" applyNumberFormat="1"/>
    <xf numFmtId="0" fontId="16" fillId="0" borderId="12" xfId="2" applyNumberFormat="1" applyBorder="1" applyAlignment="1">
      <alignment horizontal="center"/>
    </xf>
    <xf numFmtId="166" fontId="16" fillId="0" borderId="12" xfId="2" applyNumberFormat="1" applyBorder="1" applyAlignment="1">
      <alignment horizontal="right"/>
    </xf>
    <xf numFmtId="166" fontId="16" fillId="0" borderId="12" xfId="2" applyNumberFormat="1" applyBorder="1" applyAlignment="1">
      <alignment horizontal="center"/>
    </xf>
    <xf numFmtId="166" fontId="16" fillId="0" borderId="12" xfId="2" applyNumberFormat="1" applyBorder="1"/>
    <xf numFmtId="165" fontId="23" fillId="0" borderId="16" xfId="2" applyFont="1" applyBorder="1"/>
    <xf numFmtId="17" fontId="23" fillId="0" borderId="4" xfId="2" applyNumberFormat="1" applyFont="1" applyBorder="1" applyAlignment="1">
      <alignment horizontal="right"/>
    </xf>
    <xf numFmtId="165" fontId="16" fillId="0" borderId="4" xfId="2" applyBorder="1"/>
    <xf numFmtId="0" fontId="23" fillId="0" borderId="17" xfId="2" applyNumberFormat="1" applyFont="1" applyBorder="1" applyAlignment="1" applyProtection="1">
      <alignment horizontal="right"/>
      <protection locked="0"/>
    </xf>
    <xf numFmtId="15" fontId="23" fillId="0" borderId="4" xfId="2" applyNumberFormat="1" applyFont="1" applyBorder="1" applyAlignment="1" applyProtection="1">
      <alignment horizontal="right"/>
      <protection hidden="1"/>
    </xf>
    <xf numFmtId="167" fontId="23" fillId="0" borderId="4" xfId="2" applyNumberFormat="1" applyFont="1" applyBorder="1" applyAlignment="1" applyProtection="1">
      <alignment horizontal="center"/>
      <protection hidden="1"/>
    </xf>
    <xf numFmtId="17" fontId="23" fillId="0" borderId="4" xfId="2" applyNumberFormat="1" applyFont="1" applyBorder="1" applyAlignment="1" applyProtection="1">
      <alignment horizontal="right"/>
      <protection hidden="1"/>
    </xf>
    <xf numFmtId="0" fontId="23" fillId="0" borderId="15" xfId="2" applyNumberFormat="1" applyFont="1" applyBorder="1" applyAlignment="1" applyProtection="1">
      <alignment horizontal="right"/>
      <protection locked="0"/>
    </xf>
    <xf numFmtId="17" fontId="23" fillId="0" borderId="8" xfId="2" applyNumberFormat="1" applyFont="1" applyBorder="1" applyAlignment="1" applyProtection="1">
      <alignment horizontal="right"/>
      <protection hidden="1"/>
    </xf>
    <xf numFmtId="167" fontId="23" fillId="0" borderId="8" xfId="2" applyNumberFormat="1" applyFont="1" applyBorder="1" applyAlignment="1" applyProtection="1">
      <alignment horizontal="center"/>
      <protection hidden="1"/>
    </xf>
    <xf numFmtId="1" fontId="0" fillId="0" borderId="0" xfId="0" applyNumberFormat="1"/>
    <xf numFmtId="9" fontId="14" fillId="0" borderId="6" xfId="0" applyNumberFormat="1" applyFont="1" applyBorder="1" applyAlignment="1">
      <alignment horizontal="center"/>
    </xf>
    <xf numFmtId="0" fontId="0" fillId="0" borderId="0" xfId="0" applyAlignment="1"/>
    <xf numFmtId="0" fontId="3" fillId="0" borderId="0" xfId="0" applyFont="1" applyAlignment="1"/>
    <xf numFmtId="0" fontId="0" fillId="0" borderId="0" xfId="0" applyBorder="1"/>
    <xf numFmtId="0" fontId="0" fillId="0" borderId="4" xfId="0" applyBorder="1"/>
    <xf numFmtId="44" fontId="0" fillId="0" borderId="0" xfId="1" applyFont="1" applyBorder="1"/>
    <xf numFmtId="44" fontId="0" fillId="0" borderId="4" xfId="1" applyFont="1" applyBorder="1"/>
    <xf numFmtId="44" fontId="0" fillId="0" borderId="0" xfId="0" applyNumberFormat="1" applyBorder="1"/>
    <xf numFmtId="44" fontId="0" fillId="0" borderId="4" xfId="0" applyNumberFormat="1" applyBorder="1"/>
    <xf numFmtId="0" fontId="0" fillId="2" borderId="0" xfId="0" applyFill="1"/>
    <xf numFmtId="44" fontId="0" fillId="2" borderId="0" xfId="0" applyNumberFormat="1" applyFill="1"/>
    <xf numFmtId="44" fontId="0" fillId="2" borderId="0" xfId="1" applyFont="1" applyFill="1" applyBorder="1"/>
    <xf numFmtId="0" fontId="0" fillId="0" borderId="8" xfId="0" applyBorder="1"/>
    <xf numFmtId="0" fontId="0" fillId="3" borderId="4" xfId="0" applyFill="1" applyBorder="1"/>
    <xf numFmtId="44" fontId="0" fillId="3" borderId="0" xfId="1" applyFont="1" applyFill="1"/>
    <xf numFmtId="44" fontId="0" fillId="3" borderId="0" xfId="0" applyNumberFormat="1" applyFill="1"/>
    <xf numFmtId="0" fontId="0" fillId="3" borderId="0" xfId="0" applyFill="1"/>
    <xf numFmtId="0" fontId="0" fillId="3" borderId="4" xfId="0" quotePrefix="1" applyFill="1" applyBorder="1"/>
    <xf numFmtId="4" fontId="0" fillId="0" borderId="0" xfId="0" applyNumberFormat="1"/>
    <xf numFmtId="3" fontId="24" fillId="0" borderId="0" xfId="0" applyNumberFormat="1" applyFont="1" applyAlignment="1">
      <alignment horizontal="right"/>
    </xf>
    <xf numFmtId="3" fontId="0" fillId="0" borderId="0" xfId="0" applyNumberFormat="1" applyFont="1" applyAlignment="1">
      <alignment horizontal="left"/>
    </xf>
    <xf numFmtId="0" fontId="0" fillId="0" borderId="0" xfId="0" applyAlignment="1">
      <alignment wrapText="1"/>
    </xf>
    <xf numFmtId="44" fontId="0" fillId="4" borderId="0" xfId="0" applyNumberFormat="1" applyFill="1"/>
    <xf numFmtId="3" fontId="24" fillId="0" borderId="0" xfId="0" applyNumberFormat="1" applyFont="1" applyAlignment="1">
      <alignment horizontal="left"/>
    </xf>
    <xf numFmtId="0" fontId="12" fillId="0" borderId="0" xfId="0" applyFont="1" applyBorder="1"/>
    <xf numFmtId="2" fontId="0" fillId="0" borderId="4" xfId="0" applyNumberFormat="1" applyBorder="1"/>
    <xf numFmtId="2" fontId="0" fillId="0" borderId="0" xfId="0" applyNumberFormat="1" applyBorder="1"/>
    <xf numFmtId="2" fontId="0" fillId="2" borderId="0" xfId="0" applyNumberFormat="1" applyFill="1"/>
    <xf numFmtId="3" fontId="25" fillId="5" borderId="0" xfId="0" applyNumberFormat="1" applyFont="1" applyFill="1"/>
    <xf numFmtId="0" fontId="0" fillId="5" borderId="0" xfId="0" applyFill="1"/>
    <xf numFmtId="2" fontId="3" fillId="5" borderId="0" xfId="0" applyNumberFormat="1" applyFont="1" applyFill="1"/>
    <xf numFmtId="3" fontId="26" fillId="6" borderId="0" xfId="0" applyNumberFormat="1" applyFont="1" applyFill="1"/>
    <xf numFmtId="4" fontId="27" fillId="6" borderId="0" xfId="0" applyNumberFormat="1" applyFont="1" applyFill="1"/>
    <xf numFmtId="0" fontId="26" fillId="6" borderId="0" xfId="0" applyFont="1" applyFill="1"/>
    <xf numFmtId="4" fontId="26" fillId="6" borderId="0" xfId="0" applyNumberFormat="1" applyFont="1" applyFill="1"/>
    <xf numFmtId="3" fontId="0" fillId="0" borderId="0" xfId="0" applyNumberFormat="1" applyBorder="1"/>
    <xf numFmtId="3" fontId="2" fillId="0" borderId="4" xfId="0" applyNumberFormat="1" applyFont="1" applyBorder="1"/>
    <xf numFmtId="3" fontId="4" fillId="0" borderId="0" xfId="0" applyNumberFormat="1" applyFont="1" applyBorder="1" applyAlignment="1">
      <alignment vertical="center"/>
    </xf>
    <xf numFmtId="9" fontId="14" fillId="0" borderId="0" xfId="0" applyNumberFormat="1" applyFont="1" applyAlignment="1">
      <alignment horizontal="center"/>
    </xf>
    <xf numFmtId="0" fontId="3" fillId="0" borderId="0" xfId="0" applyFont="1" applyAlignment="1">
      <alignment horizontal="center"/>
    </xf>
    <xf numFmtId="0" fontId="0" fillId="0" borderId="4" xfId="0" applyBorder="1" applyAlignment="1">
      <alignment horizontal="center"/>
    </xf>
    <xf numFmtId="0" fontId="0" fillId="0" borderId="2" xfId="0" applyBorder="1" applyAlignment="1">
      <alignment horizontal="center"/>
    </xf>
    <xf numFmtId="2" fontId="3" fillId="0" borderId="0" xfId="0" applyNumberFormat="1" applyFont="1"/>
    <xf numFmtId="44" fontId="29" fillId="0" borderId="0" xfId="0" applyNumberFormat="1" applyFont="1" applyAlignment="1">
      <alignment horizontal="left"/>
    </xf>
    <xf numFmtId="0" fontId="3" fillId="0" borderId="2" xfId="0" applyFont="1" applyBorder="1" applyAlignment="1">
      <alignment horizontal="center"/>
    </xf>
    <xf numFmtId="0" fontId="28" fillId="0" borderId="7" xfId="0" applyFont="1" applyBorder="1"/>
    <xf numFmtId="0" fontId="3" fillId="0" borderId="4" xfId="0" applyFont="1" applyBorder="1"/>
    <xf numFmtId="0" fontId="28" fillId="0" borderId="4" xfId="0" applyFont="1" applyBorder="1"/>
    <xf numFmtId="0" fontId="0" fillId="4" borderId="4" xfId="0" applyFill="1" applyBorder="1"/>
    <xf numFmtId="0" fontId="29" fillId="0" borderId="4" xfId="0" applyFont="1" applyBorder="1" applyAlignment="1">
      <alignment horizontal="right"/>
    </xf>
    <xf numFmtId="0" fontId="30" fillId="0" borderId="4" xfId="0" applyFont="1" applyBorder="1" applyAlignment="1">
      <alignment horizontal="left"/>
    </xf>
    <xf numFmtId="44" fontId="30" fillId="0" borderId="0" xfId="0" applyNumberFormat="1" applyFont="1" applyAlignment="1">
      <alignment horizontal="right"/>
    </xf>
    <xf numFmtId="0" fontId="0" fillId="0" borderId="4" xfId="0" applyFill="1" applyBorder="1"/>
    <xf numFmtId="44" fontId="3" fillId="0" borderId="2" xfId="1" applyFont="1" applyBorder="1" applyAlignment="1">
      <alignment horizontal="center"/>
    </xf>
    <xf numFmtId="44" fontId="3" fillId="0" borderId="0" xfId="1" applyFont="1" applyAlignment="1">
      <alignment horizontal="center"/>
    </xf>
    <xf numFmtId="44" fontId="3" fillId="0" borderId="0" xfId="1" applyFont="1"/>
    <xf numFmtId="44" fontId="0" fillId="4" borderId="0" xfId="1" applyFont="1" applyFill="1"/>
    <xf numFmtId="44" fontId="29" fillId="0" borderId="0" xfId="1" applyFont="1" applyAlignment="1">
      <alignment horizontal="left"/>
    </xf>
    <xf numFmtId="44" fontId="30" fillId="0" borderId="0" xfId="1" applyFont="1" applyAlignment="1">
      <alignment horizontal="right"/>
    </xf>
    <xf numFmtId="0" fontId="0" fillId="7" borderId="0" xfId="0" applyFill="1"/>
    <xf numFmtId="0" fontId="0" fillId="8" borderId="0" xfId="0" applyFill="1"/>
    <xf numFmtId="3" fontId="0" fillId="8" borderId="0" xfId="0" applyNumberFormat="1" applyFill="1"/>
    <xf numFmtId="3" fontId="3" fillId="0" borderId="0" xfId="0" applyNumberFormat="1" applyFont="1"/>
    <xf numFmtId="2" fontId="0" fillId="0" borderId="0" xfId="0" applyNumberFormat="1"/>
    <xf numFmtId="0" fontId="0" fillId="0" borderId="0" xfId="0" applyAlignment="1">
      <alignment horizontal="center"/>
    </xf>
    <xf numFmtId="0" fontId="32" fillId="0" borderId="0" xfId="0" applyFont="1" applyAlignment="1">
      <alignment horizontal="center"/>
    </xf>
    <xf numFmtId="0" fontId="25" fillId="0" borderId="0" xfId="0" applyFont="1"/>
    <xf numFmtId="0" fontId="31" fillId="0" borderId="0" xfId="0" applyFont="1" applyAlignment="1">
      <alignment horizontal="center" vertical="center"/>
    </xf>
    <xf numFmtId="0" fontId="3" fillId="0" borderId="0"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18" fillId="0" borderId="0" xfId="0" applyFont="1" applyBorder="1" applyAlignment="1">
      <alignment horizontal="center"/>
    </xf>
    <xf numFmtId="3" fontId="4" fillId="0" borderId="6" xfId="0" applyNumberFormat="1" applyFont="1" applyBorder="1" applyAlignment="1">
      <alignment horizontal="center" vertical="center"/>
    </xf>
    <xf numFmtId="3" fontId="4" fillId="0" borderId="0" xfId="0" applyNumberFormat="1" applyFont="1" applyAlignment="1">
      <alignment horizontal="center" vertical="center"/>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1" xfId="0" applyNumberFormat="1" applyFont="1" applyBorder="1" applyAlignment="1">
      <alignment horizontal="center" vertical="center"/>
    </xf>
    <xf numFmtId="3" fontId="4" fillId="0" borderId="0" xfId="0" applyNumberFormat="1" applyFont="1" applyBorder="1" applyAlignment="1">
      <alignment horizontal="center" vertical="center"/>
    </xf>
    <xf numFmtId="3" fontId="4" fillId="0" borderId="3" xfId="0" applyNumberFormat="1" applyFont="1" applyBorder="1" applyAlignment="1">
      <alignment horizontal="center" vertical="center"/>
    </xf>
    <xf numFmtId="0" fontId="13" fillId="0" borderId="9" xfId="0" applyFont="1" applyBorder="1" applyAlignment="1">
      <alignment horizontal="center"/>
    </xf>
    <xf numFmtId="0" fontId="13" fillId="0" borderId="11" xfId="0" applyFont="1" applyBorder="1" applyAlignment="1">
      <alignment horizontal="center"/>
    </xf>
    <xf numFmtId="0" fontId="13" fillId="0" borderId="10" xfId="0" applyFont="1" applyBorder="1" applyAlignment="1">
      <alignment horizontal="center"/>
    </xf>
    <xf numFmtId="0" fontId="14" fillId="0" borderId="0" xfId="0" applyFont="1" applyBorder="1"/>
    <xf numFmtId="0" fontId="14" fillId="0" borderId="0" xfId="0" applyFont="1" applyBorder="1" applyAlignment="1">
      <alignment horizontal="left" indent="3"/>
    </xf>
    <xf numFmtId="0" fontId="14" fillId="0" borderId="10" xfId="0" applyFont="1" applyBorder="1" applyAlignment="1">
      <alignment horizontal="left" indent="3"/>
    </xf>
    <xf numFmtId="0" fontId="13" fillId="0" borderId="12" xfId="0" applyFont="1" applyBorder="1" applyAlignment="1"/>
    <xf numFmtId="0" fontId="16" fillId="0" borderId="12" xfId="2" applyNumberFormat="1" applyBorder="1" applyAlignment="1">
      <alignment horizontal="left"/>
    </xf>
    <xf numFmtId="0" fontId="0" fillId="3" borderId="0" xfId="0" applyFill="1" applyBorder="1"/>
    <xf numFmtId="0" fontId="0" fillId="3" borderId="0" xfId="0" quotePrefix="1" applyFill="1" applyBorder="1"/>
    <xf numFmtId="0" fontId="0" fillId="0" borderId="0" xfId="0" applyBorder="1" applyAlignment="1">
      <alignment horizontal="right"/>
    </xf>
    <xf numFmtId="0" fontId="0" fillId="0" borderId="4" xfId="0" applyBorder="1" applyAlignment="1">
      <alignment horizontal="right"/>
    </xf>
    <xf numFmtId="0" fontId="0" fillId="2" borderId="0" xfId="0" applyFill="1" applyBorder="1" applyAlignment="1">
      <alignment horizontal="right"/>
    </xf>
    <xf numFmtId="0" fontId="0" fillId="2" borderId="4" xfId="0" applyFill="1" applyBorder="1" applyAlignment="1">
      <alignment horizontal="right"/>
    </xf>
    <xf numFmtId="0" fontId="0" fillId="3" borderId="6" xfId="0" applyFill="1" applyBorder="1" applyAlignment="1">
      <alignment horizontal="center"/>
    </xf>
    <xf numFmtId="0" fontId="0" fillId="3" borderId="4" xfId="0" quotePrefix="1" applyFill="1" applyBorder="1" applyAlignment="1">
      <alignment horizontal="center"/>
    </xf>
    <xf numFmtId="0" fontId="0" fillId="0" borderId="4" xfId="0" applyBorder="1" applyAlignment="1">
      <alignment horizontal="center"/>
    </xf>
  </cellXfs>
  <cellStyles count="3">
    <cellStyle name="Monétaire" xfId="1" builtinId="4"/>
    <cellStyle name="Normal" xfId="0" builtinId="0"/>
    <cellStyle name="Normal_Emprunts" xfId="2" xr:uid="{02EFF30E-6B64-4078-A862-230E766A25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689212</xdr:colOff>
      <xdr:row>37</xdr:row>
      <xdr:rowOff>150126</xdr:rowOff>
    </xdr:from>
    <xdr:to>
      <xdr:col>6</xdr:col>
      <xdr:colOff>900753</xdr:colOff>
      <xdr:row>47</xdr:row>
      <xdr:rowOff>1</xdr:rowOff>
    </xdr:to>
    <xdr:sp macro="" textlink="">
      <xdr:nvSpPr>
        <xdr:cNvPr id="2" name="ZoneTexte 1">
          <a:extLst>
            <a:ext uri="{FF2B5EF4-FFF2-40B4-BE49-F238E27FC236}">
              <a16:creationId xmlns:a16="http://schemas.microsoft.com/office/drawing/2014/main" id="{515E1458-A553-4DD2-8210-69693D2E0046}"/>
            </a:ext>
          </a:extLst>
        </xdr:cNvPr>
        <xdr:cNvSpPr txBox="1"/>
      </xdr:nvSpPr>
      <xdr:spPr>
        <a:xfrm>
          <a:off x="5779827" y="6864825"/>
          <a:ext cx="2988860" cy="1624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Augmentation des</a:t>
          </a:r>
          <a:r>
            <a:rPr lang="fr-BE" sz="1100" baseline="0"/>
            <a:t> charges l'année 3 suite au lancement des travaux pour aménager les containers mobiles.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155974</xdr:colOff>
      <xdr:row>190</xdr:row>
      <xdr:rowOff>58491</xdr:rowOff>
    </xdr:from>
    <xdr:to>
      <xdr:col>3</xdr:col>
      <xdr:colOff>857859</xdr:colOff>
      <xdr:row>197</xdr:row>
      <xdr:rowOff>58490</xdr:rowOff>
    </xdr:to>
    <xdr:sp macro="" textlink="">
      <xdr:nvSpPr>
        <xdr:cNvPr id="2" name="ZoneTexte 1">
          <a:extLst>
            <a:ext uri="{FF2B5EF4-FFF2-40B4-BE49-F238E27FC236}">
              <a16:creationId xmlns:a16="http://schemas.microsoft.com/office/drawing/2014/main" id="{2FCF9BDB-5DEB-4B75-89D8-BC1FDC8326B5}"/>
            </a:ext>
          </a:extLst>
        </xdr:cNvPr>
        <xdr:cNvSpPr txBox="1"/>
      </xdr:nvSpPr>
      <xdr:spPr>
        <a:xfrm>
          <a:off x="155974" y="33417518"/>
          <a:ext cx="4162568" cy="12282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Achat de 5 containerair</a:t>
          </a:r>
          <a:r>
            <a:rPr lang="fr-BE" sz="1100" baseline="0"/>
            <a:t> + matériel l'année 3 pour lancer la formule 2 du produit (container mobile)</a:t>
          </a:r>
        </a:p>
        <a:p>
          <a:endParaRPr lang="fr-B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491319</xdr:colOff>
      <xdr:row>1</xdr:row>
      <xdr:rowOff>6824</xdr:rowOff>
    </xdr:from>
    <xdr:to>
      <xdr:col>9</xdr:col>
      <xdr:colOff>368488</xdr:colOff>
      <xdr:row>13</xdr:row>
      <xdr:rowOff>163773</xdr:rowOff>
    </xdr:to>
    <xdr:sp macro="" textlink="">
      <xdr:nvSpPr>
        <xdr:cNvPr id="2" name="ZoneTexte 1">
          <a:extLst>
            <a:ext uri="{FF2B5EF4-FFF2-40B4-BE49-F238E27FC236}">
              <a16:creationId xmlns:a16="http://schemas.microsoft.com/office/drawing/2014/main" id="{B80A4A54-1E80-49EA-856A-31A211813E8C}"/>
            </a:ext>
          </a:extLst>
        </xdr:cNvPr>
        <xdr:cNvSpPr txBox="1"/>
      </xdr:nvSpPr>
      <xdr:spPr>
        <a:xfrm>
          <a:off x="3548418" y="184245"/>
          <a:ext cx="3698542"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Bien</a:t>
          </a:r>
          <a:r>
            <a:rPr lang="fr-BE" sz="1100" baseline="0"/>
            <a:t> que la valeur idéale souhaitée pour le besoin en fond de roulement est négative, la valeure effective est compensée par un fond de roulement élevé. Cela signifie que les actifs circulants de l'entreprise sont bien financé par ses capitaux propres. Un BFR négatif signifie que l'entreprise finance ses dettes à court terme directement par ses créance à court terme.</a:t>
          </a:r>
        </a:p>
        <a:p>
          <a:r>
            <a:rPr lang="fr-BE" sz="1100" baseline="0"/>
            <a:t>La valeur du besoin en fond de roulement représente la trésorerie nécéssaire pour compenser le décallage dans le temps entre les encaissements et les décaissements.</a:t>
          </a:r>
        </a:p>
        <a:p>
          <a:r>
            <a:rPr lang="fr-BE" sz="1100" baseline="0"/>
            <a:t>Ces chiffres sont donc rassurant et démontrent une structure financière saine. </a:t>
          </a:r>
          <a:endParaRPr lang="fr-BE"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109182</xdr:colOff>
      <xdr:row>12</xdr:row>
      <xdr:rowOff>163773</xdr:rowOff>
    </xdr:from>
    <xdr:ext cx="2536144" cy="172227"/>
    <mc:AlternateContent xmlns:mc="http://schemas.openxmlformats.org/markup-compatibility/2006" xmlns:a14="http://schemas.microsoft.com/office/drawing/2010/main">
      <mc:Choice Requires="a14">
        <xdr:sp macro="" textlink="">
          <xdr:nvSpPr>
            <xdr:cNvPr id="2" name="ZoneTexte 1">
              <a:extLst>
                <a:ext uri="{FF2B5EF4-FFF2-40B4-BE49-F238E27FC236}">
                  <a16:creationId xmlns:a16="http://schemas.microsoft.com/office/drawing/2014/main" id="{ED566C05-93B3-452A-A821-80C86E8B138C}"/>
                </a:ext>
              </a:extLst>
            </xdr:cNvPr>
            <xdr:cNvSpPr txBox="1"/>
          </xdr:nvSpPr>
          <xdr:spPr>
            <a:xfrm>
              <a:off x="1248770" y="518615"/>
              <a:ext cx="25361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fr-BE" sz="1100" b="0" i="1">
                        <a:latin typeface="Cambria Math" panose="02040503050406030204" pitchFamily="18" charset="0"/>
                      </a:rPr>
                      <m:t>𝑝</m:t>
                    </m:r>
                    <m:r>
                      <a:rPr lang="fr-BE" sz="1100" b="0" i="1">
                        <a:latin typeface="Cambria Math" panose="02040503050406030204" pitchFamily="18" charset="0"/>
                      </a:rPr>
                      <m:t>∗</m:t>
                    </m:r>
                    <m:r>
                      <a:rPr lang="fr-BE" sz="1100" b="0" i="1">
                        <a:latin typeface="Cambria Math" panose="02040503050406030204" pitchFamily="18" charset="0"/>
                      </a:rPr>
                      <m:t>𝑞</m:t>
                    </m:r>
                    <m:r>
                      <a:rPr lang="fr-BE" sz="1100" b="0" i="1">
                        <a:latin typeface="Cambria Math" panose="02040503050406030204" pitchFamily="18" charset="0"/>
                      </a:rPr>
                      <m:t>=</m:t>
                    </m:r>
                    <m:d>
                      <m:dPr>
                        <m:ctrlPr>
                          <a:rPr lang="fr-BE" sz="1100" b="0" i="1">
                            <a:latin typeface="Cambria Math" panose="02040503050406030204" pitchFamily="18" charset="0"/>
                          </a:rPr>
                        </m:ctrlPr>
                      </m:dPr>
                      <m:e>
                        <m:r>
                          <a:rPr lang="fr-BE" sz="1100" b="0" i="1">
                            <a:latin typeface="Cambria Math" panose="02040503050406030204" pitchFamily="18" charset="0"/>
                          </a:rPr>
                          <m:t>𝑞</m:t>
                        </m:r>
                        <m:r>
                          <a:rPr lang="fr-BE" sz="1100" b="0" i="1">
                            <a:latin typeface="Cambria Math" panose="02040503050406030204" pitchFamily="18" charset="0"/>
                          </a:rPr>
                          <m:t>∗</m:t>
                        </m:r>
                        <m:r>
                          <a:rPr lang="fr-BE" sz="1100" b="0" i="1">
                            <a:latin typeface="Cambria Math" panose="02040503050406030204" pitchFamily="18" charset="0"/>
                          </a:rPr>
                          <m:t>𝑐𝑜</m:t>
                        </m:r>
                        <m:r>
                          <a:rPr lang="fr-BE" sz="1100" b="0" i="1">
                            <a:latin typeface="Cambria Math" panose="02040503050406030204" pitchFamily="18" charset="0"/>
                          </a:rPr>
                          <m:t>û</m:t>
                        </m:r>
                        <m:r>
                          <a:rPr lang="fr-BE" sz="1100" b="0" i="1">
                            <a:latin typeface="Cambria Math" panose="02040503050406030204" pitchFamily="18" charset="0"/>
                          </a:rPr>
                          <m:t>𝑡𝑠</m:t>
                        </m:r>
                        <m:r>
                          <a:rPr lang="fr-BE" sz="1100" b="0" i="1">
                            <a:latin typeface="Cambria Math" panose="02040503050406030204" pitchFamily="18" charset="0"/>
                          </a:rPr>
                          <m:t> </m:t>
                        </m:r>
                        <m:r>
                          <a:rPr lang="fr-BE" sz="1100" b="0" i="1">
                            <a:latin typeface="Cambria Math" panose="02040503050406030204" pitchFamily="18" charset="0"/>
                          </a:rPr>
                          <m:t>𝑑𝑖𝑟𝑒𝑐𝑡𝑠</m:t>
                        </m:r>
                      </m:e>
                    </m:d>
                    <m:r>
                      <a:rPr lang="fr-BE" sz="1100" b="0" i="1">
                        <a:latin typeface="Cambria Math" panose="02040503050406030204" pitchFamily="18" charset="0"/>
                      </a:rPr>
                      <m:t>+</m:t>
                    </m:r>
                    <m:r>
                      <a:rPr lang="fr-BE" sz="1100" b="0" i="1">
                        <a:latin typeface="Cambria Math" panose="02040503050406030204" pitchFamily="18" charset="0"/>
                      </a:rPr>
                      <m:t>𝑐𝑜</m:t>
                    </m:r>
                    <m:r>
                      <a:rPr lang="fr-BE" sz="1100" b="0" i="1">
                        <a:latin typeface="Cambria Math" panose="02040503050406030204" pitchFamily="18" charset="0"/>
                      </a:rPr>
                      <m:t>û</m:t>
                    </m:r>
                    <m:r>
                      <a:rPr lang="fr-BE" sz="1100" b="0" i="1">
                        <a:latin typeface="Cambria Math" panose="02040503050406030204" pitchFamily="18" charset="0"/>
                      </a:rPr>
                      <m:t>𝑡𝑠</m:t>
                    </m:r>
                    <m:r>
                      <a:rPr lang="fr-BE" sz="1100" b="0" i="1">
                        <a:latin typeface="Cambria Math" panose="02040503050406030204" pitchFamily="18" charset="0"/>
                      </a:rPr>
                      <m:t> </m:t>
                    </m:r>
                    <m:r>
                      <a:rPr lang="fr-BE" sz="1100" b="0" i="1">
                        <a:latin typeface="Cambria Math" panose="02040503050406030204" pitchFamily="18" charset="0"/>
                      </a:rPr>
                      <m:t>𝑓𝑖𝑥𝑒𝑠</m:t>
                    </m:r>
                  </m:oMath>
                </m:oMathPara>
              </a14:m>
              <a:endParaRPr lang="fr-BE" sz="1100"/>
            </a:p>
          </xdr:txBody>
        </xdr:sp>
      </mc:Choice>
      <mc:Fallback xmlns="">
        <xdr:sp macro="" textlink="">
          <xdr:nvSpPr>
            <xdr:cNvPr id="2" name="ZoneTexte 1">
              <a:extLst>
                <a:ext uri="{FF2B5EF4-FFF2-40B4-BE49-F238E27FC236}">
                  <a16:creationId xmlns:a16="http://schemas.microsoft.com/office/drawing/2014/main" id="{ED566C05-93B3-452A-A821-80C86E8B138C}"/>
                </a:ext>
              </a:extLst>
            </xdr:cNvPr>
            <xdr:cNvSpPr txBox="1"/>
          </xdr:nvSpPr>
          <xdr:spPr>
            <a:xfrm>
              <a:off x="1248770" y="518615"/>
              <a:ext cx="25361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BE" sz="1100" b="0" i="0">
                  <a:latin typeface="Cambria Math" panose="02040503050406030204" pitchFamily="18" charset="0"/>
                </a:rPr>
                <a:t>𝑝∗𝑞=(𝑞∗𝑐𝑜û𝑡𝑠 𝑑𝑖𝑟𝑒𝑐𝑡𝑠)+𝑐𝑜û𝑡𝑠 𝑓𝑖𝑥𝑒𝑠</a:t>
              </a:r>
              <a:endParaRPr lang="fr-BE" sz="1100"/>
            </a:p>
          </xdr:txBody>
        </xdr:sp>
      </mc:Fallback>
    </mc:AlternateContent>
    <xdr:clientData/>
  </xdr:oneCellAnchor>
  <xdr:oneCellAnchor>
    <xdr:from>
      <xdr:col>1</xdr:col>
      <xdr:colOff>109182</xdr:colOff>
      <xdr:row>3</xdr:row>
      <xdr:rowOff>163773</xdr:rowOff>
    </xdr:from>
    <xdr:ext cx="2536144" cy="172227"/>
    <mc:AlternateContent xmlns:mc="http://schemas.openxmlformats.org/markup-compatibility/2006" xmlns:a14="http://schemas.microsoft.com/office/drawing/2010/main">
      <mc:Choice Requires="a14">
        <xdr:sp macro="" textlink="">
          <xdr:nvSpPr>
            <xdr:cNvPr id="3" name="ZoneTexte 2">
              <a:extLst>
                <a:ext uri="{FF2B5EF4-FFF2-40B4-BE49-F238E27FC236}">
                  <a16:creationId xmlns:a16="http://schemas.microsoft.com/office/drawing/2014/main" id="{9E70E5CC-0040-4799-B144-4F73A448C98F}"/>
                </a:ext>
              </a:extLst>
            </xdr:cNvPr>
            <xdr:cNvSpPr txBox="1"/>
          </xdr:nvSpPr>
          <xdr:spPr>
            <a:xfrm>
              <a:off x="1248770" y="2313295"/>
              <a:ext cx="25361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fr-BE" sz="1100" b="0" i="1">
                        <a:latin typeface="Cambria Math" panose="02040503050406030204" pitchFamily="18" charset="0"/>
                      </a:rPr>
                      <m:t>𝑝</m:t>
                    </m:r>
                    <m:r>
                      <a:rPr lang="fr-BE" sz="1100" b="0" i="1">
                        <a:latin typeface="Cambria Math" panose="02040503050406030204" pitchFamily="18" charset="0"/>
                      </a:rPr>
                      <m:t>∗</m:t>
                    </m:r>
                    <m:r>
                      <a:rPr lang="fr-BE" sz="1100" b="0" i="1">
                        <a:latin typeface="Cambria Math" panose="02040503050406030204" pitchFamily="18" charset="0"/>
                      </a:rPr>
                      <m:t>𝑞</m:t>
                    </m:r>
                    <m:r>
                      <a:rPr lang="fr-BE" sz="1100" b="0" i="1">
                        <a:latin typeface="Cambria Math" panose="02040503050406030204" pitchFamily="18" charset="0"/>
                      </a:rPr>
                      <m:t>=</m:t>
                    </m:r>
                    <m:d>
                      <m:dPr>
                        <m:ctrlPr>
                          <a:rPr lang="fr-BE" sz="1100" b="0" i="1">
                            <a:latin typeface="Cambria Math" panose="02040503050406030204" pitchFamily="18" charset="0"/>
                          </a:rPr>
                        </m:ctrlPr>
                      </m:dPr>
                      <m:e>
                        <m:r>
                          <a:rPr lang="fr-BE" sz="1100" b="0" i="1">
                            <a:latin typeface="Cambria Math" panose="02040503050406030204" pitchFamily="18" charset="0"/>
                          </a:rPr>
                          <m:t>𝑞</m:t>
                        </m:r>
                        <m:r>
                          <a:rPr lang="fr-BE" sz="1100" b="0" i="1">
                            <a:latin typeface="Cambria Math" panose="02040503050406030204" pitchFamily="18" charset="0"/>
                          </a:rPr>
                          <m:t>∗</m:t>
                        </m:r>
                        <m:r>
                          <a:rPr lang="fr-BE" sz="1100" b="0" i="1">
                            <a:latin typeface="Cambria Math" panose="02040503050406030204" pitchFamily="18" charset="0"/>
                          </a:rPr>
                          <m:t>𝑐𝑜</m:t>
                        </m:r>
                        <m:r>
                          <a:rPr lang="fr-BE" sz="1100" b="0" i="1">
                            <a:latin typeface="Cambria Math" panose="02040503050406030204" pitchFamily="18" charset="0"/>
                          </a:rPr>
                          <m:t>û</m:t>
                        </m:r>
                        <m:r>
                          <a:rPr lang="fr-BE" sz="1100" b="0" i="1">
                            <a:latin typeface="Cambria Math" panose="02040503050406030204" pitchFamily="18" charset="0"/>
                          </a:rPr>
                          <m:t>𝑡𝑠</m:t>
                        </m:r>
                        <m:r>
                          <a:rPr lang="fr-BE" sz="1100" b="0" i="1">
                            <a:latin typeface="Cambria Math" panose="02040503050406030204" pitchFamily="18" charset="0"/>
                          </a:rPr>
                          <m:t> </m:t>
                        </m:r>
                        <m:r>
                          <a:rPr lang="fr-BE" sz="1100" b="0" i="1">
                            <a:latin typeface="Cambria Math" panose="02040503050406030204" pitchFamily="18" charset="0"/>
                          </a:rPr>
                          <m:t>𝑑𝑖𝑟𝑒𝑐𝑡𝑠</m:t>
                        </m:r>
                      </m:e>
                    </m:d>
                    <m:r>
                      <a:rPr lang="fr-BE" sz="1100" b="0" i="1">
                        <a:latin typeface="Cambria Math" panose="02040503050406030204" pitchFamily="18" charset="0"/>
                      </a:rPr>
                      <m:t>+</m:t>
                    </m:r>
                    <m:r>
                      <a:rPr lang="fr-BE" sz="1100" b="0" i="1">
                        <a:latin typeface="Cambria Math" panose="02040503050406030204" pitchFamily="18" charset="0"/>
                      </a:rPr>
                      <m:t>𝑐𝑜</m:t>
                    </m:r>
                    <m:r>
                      <a:rPr lang="fr-BE" sz="1100" b="0" i="1">
                        <a:latin typeface="Cambria Math" panose="02040503050406030204" pitchFamily="18" charset="0"/>
                      </a:rPr>
                      <m:t>û</m:t>
                    </m:r>
                    <m:r>
                      <a:rPr lang="fr-BE" sz="1100" b="0" i="1">
                        <a:latin typeface="Cambria Math" panose="02040503050406030204" pitchFamily="18" charset="0"/>
                      </a:rPr>
                      <m:t>𝑡𝑠</m:t>
                    </m:r>
                    <m:r>
                      <a:rPr lang="fr-BE" sz="1100" b="0" i="1">
                        <a:latin typeface="Cambria Math" panose="02040503050406030204" pitchFamily="18" charset="0"/>
                      </a:rPr>
                      <m:t> </m:t>
                    </m:r>
                    <m:r>
                      <a:rPr lang="fr-BE" sz="1100" b="0" i="1">
                        <a:latin typeface="Cambria Math" panose="02040503050406030204" pitchFamily="18" charset="0"/>
                      </a:rPr>
                      <m:t>𝑓𝑖𝑥𝑒𝑠</m:t>
                    </m:r>
                  </m:oMath>
                </m:oMathPara>
              </a14:m>
              <a:endParaRPr lang="fr-BE" sz="1100"/>
            </a:p>
          </xdr:txBody>
        </xdr:sp>
      </mc:Choice>
      <mc:Fallback xmlns="">
        <xdr:sp macro="" textlink="">
          <xdr:nvSpPr>
            <xdr:cNvPr id="3" name="ZoneTexte 2">
              <a:extLst>
                <a:ext uri="{FF2B5EF4-FFF2-40B4-BE49-F238E27FC236}">
                  <a16:creationId xmlns:a16="http://schemas.microsoft.com/office/drawing/2014/main" id="{9E70E5CC-0040-4799-B144-4F73A448C98F}"/>
                </a:ext>
              </a:extLst>
            </xdr:cNvPr>
            <xdr:cNvSpPr txBox="1"/>
          </xdr:nvSpPr>
          <xdr:spPr>
            <a:xfrm>
              <a:off x="1248770" y="2313295"/>
              <a:ext cx="2536144"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fr-BE" sz="1100" b="0" i="0">
                  <a:latin typeface="Cambria Math" panose="02040503050406030204" pitchFamily="18" charset="0"/>
                </a:rPr>
                <a:t>𝑝∗𝑞=(𝑞∗𝑐𝑜û𝑡𝑠 𝑑𝑖𝑟𝑒𝑐𝑡𝑠)+𝑐𝑜û𝑡𝑠 𝑓𝑖𝑥𝑒𝑠</a:t>
              </a:r>
              <a:endParaRPr lang="fr-BE" sz="1100"/>
            </a:p>
          </xdr:txBody>
        </xdr:sp>
      </mc:Fallback>
    </mc:AlternateContent>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482A-6E98-4A5A-BBCA-5158CBD40787}">
  <dimension ref="A1:K68"/>
  <sheetViews>
    <sheetView tabSelected="1" zoomScale="85" zoomScaleNormal="85" workbookViewId="0">
      <selection activeCell="K61" sqref="K61"/>
    </sheetView>
  </sheetViews>
  <sheetFormatPr baseColWidth="10" defaultRowHeight="14" x14ac:dyDescent="0.3"/>
  <cols>
    <col min="1" max="1" width="33.796875" bestFit="1" customWidth="1"/>
    <col min="2" max="4" width="13.59765625" customWidth="1"/>
    <col min="6" max="6" width="29.5" bestFit="1" customWidth="1"/>
    <col min="7" max="9" width="15.69921875" style="40" customWidth="1"/>
    <col min="10" max="11" width="12.09765625" bestFit="1" customWidth="1"/>
  </cols>
  <sheetData>
    <row r="1" spans="1:9" ht="25.8" customHeight="1" x14ac:dyDescent="0.3">
      <c r="A1" s="176" t="s">
        <v>176</v>
      </c>
      <c r="B1" s="176"/>
      <c r="C1" s="176"/>
      <c r="D1" s="176"/>
      <c r="F1" s="176" t="s">
        <v>177</v>
      </c>
      <c r="G1" s="176"/>
      <c r="H1" s="176"/>
      <c r="I1" s="176"/>
    </row>
    <row r="2" spans="1:9" x14ac:dyDescent="0.3">
      <c r="A2" s="14"/>
      <c r="B2" s="153" t="s">
        <v>73</v>
      </c>
      <c r="C2" s="153" t="s">
        <v>74</v>
      </c>
      <c r="D2" s="153" t="s">
        <v>75</v>
      </c>
      <c r="F2" s="14"/>
      <c r="G2" s="162" t="s">
        <v>73</v>
      </c>
      <c r="H2" s="162" t="s">
        <v>74</v>
      </c>
      <c r="I2" s="162" t="s">
        <v>75</v>
      </c>
    </row>
    <row r="3" spans="1:9" x14ac:dyDescent="0.3">
      <c r="A3" s="154" t="s">
        <v>170</v>
      </c>
      <c r="B3" s="148"/>
      <c r="C3" s="148"/>
      <c r="D3" s="148"/>
      <c r="F3" s="154" t="s">
        <v>170</v>
      </c>
      <c r="G3" s="163"/>
      <c r="H3" s="163"/>
      <c r="I3" s="163"/>
    </row>
    <row r="4" spans="1:9" x14ac:dyDescent="0.3">
      <c r="A4" s="113" t="s">
        <v>145</v>
      </c>
      <c r="B4" s="40">
        <f>400/1.21*SUM('Invest initial'!I5:Z5)</f>
        <v>49586.776859504134</v>
      </c>
      <c r="C4" s="40">
        <f>400/1.21*12*15</f>
        <v>59504.132231404961</v>
      </c>
      <c r="D4" s="41">
        <f>C4*1.02</f>
        <v>60694.21487603306</v>
      </c>
      <c r="F4" s="113" t="s">
        <v>145</v>
      </c>
      <c r="G4" s="40">
        <f>400/1.21*SUM('Invest initial'!N5:AE5)</f>
        <v>49586.776859504134</v>
      </c>
      <c r="H4" s="40">
        <f>400/1.21*12*15</f>
        <v>59504.132231404961</v>
      </c>
      <c r="I4" s="40">
        <f>H4*1.02</f>
        <v>60694.21487603306</v>
      </c>
    </row>
    <row r="5" spans="1:9" x14ac:dyDescent="0.3">
      <c r="A5" s="113"/>
      <c r="F5" s="113"/>
    </row>
    <row r="6" spans="1:9" x14ac:dyDescent="0.3">
      <c r="A6" s="113"/>
      <c r="F6" s="155" t="s">
        <v>171</v>
      </c>
      <c r="G6" s="164">
        <f>SUM(G4:G5)</f>
        <v>49586.776859504134</v>
      </c>
      <c r="H6" s="164">
        <f>SUM(H4:H5)</f>
        <v>59504.132231404961</v>
      </c>
      <c r="I6" s="164">
        <f>SUM(I4:I5)</f>
        <v>60694.21487603306</v>
      </c>
    </row>
    <row r="7" spans="1:9" x14ac:dyDescent="0.3">
      <c r="A7" s="113"/>
      <c r="F7" s="155"/>
      <c r="G7" s="164"/>
      <c r="H7" s="164"/>
      <c r="I7" s="164"/>
    </row>
    <row r="8" spans="1:9" x14ac:dyDescent="0.3">
      <c r="A8" s="155" t="s">
        <v>171</v>
      </c>
      <c r="B8" s="43">
        <f>SUM(B4:B7)</f>
        <v>49586.776859504134</v>
      </c>
      <c r="C8" s="43">
        <f t="shared" ref="C8:D8" si="0">SUM(C4:C7)</f>
        <v>59504.132231404961</v>
      </c>
      <c r="D8" s="43">
        <f t="shared" si="0"/>
        <v>60694.21487603306</v>
      </c>
      <c r="F8" s="156" t="s">
        <v>169</v>
      </c>
    </row>
    <row r="9" spans="1:9" x14ac:dyDescent="0.3">
      <c r="A9" s="155"/>
      <c r="B9" s="43"/>
      <c r="C9" s="43"/>
      <c r="D9" s="43"/>
      <c r="F9" s="113" t="s">
        <v>125</v>
      </c>
      <c r="G9" s="40">
        <v>500</v>
      </c>
      <c r="H9" s="40">
        <v>500</v>
      </c>
      <c r="I9" s="40">
        <v>500</v>
      </c>
    </row>
    <row r="10" spans="1:9" x14ac:dyDescent="0.3">
      <c r="A10" s="156" t="s">
        <v>169</v>
      </c>
      <c r="F10" s="113" t="s">
        <v>167</v>
      </c>
      <c r="I10" s="40">
        <f>D12</f>
        <v>49436.350000000006</v>
      </c>
    </row>
    <row r="11" spans="1:9" x14ac:dyDescent="0.3">
      <c r="A11" s="113" t="s">
        <v>125</v>
      </c>
      <c r="B11">
        <v>500</v>
      </c>
      <c r="C11">
        <v>500</v>
      </c>
      <c r="D11">
        <v>500</v>
      </c>
      <c r="F11" s="113" t="s">
        <v>168</v>
      </c>
      <c r="I11" s="40">
        <f>-I10</f>
        <v>-49436.350000000006</v>
      </c>
    </row>
    <row r="12" spans="1:9" x14ac:dyDescent="0.3">
      <c r="A12" s="113" t="s">
        <v>167</v>
      </c>
      <c r="D12" cm="1">
        <f t="array" ref="D12">SUM('Invest initial'!E3:E9/15*5)</f>
        <v>49436.350000000006</v>
      </c>
      <c r="F12" s="113"/>
    </row>
    <row r="13" spans="1:9" x14ac:dyDescent="0.3">
      <c r="A13" s="113" t="s">
        <v>168</v>
      </c>
      <c r="D13">
        <f>-D12</f>
        <v>-49436.350000000006</v>
      </c>
      <c r="F13" s="161" t="s">
        <v>175</v>
      </c>
      <c r="G13" s="40">
        <f>SUM(B15:B25)</f>
        <v>29917.5</v>
      </c>
      <c r="H13" s="40">
        <f>SUM(C15:C25)</f>
        <v>19555</v>
      </c>
      <c r="I13" s="40">
        <f>SUM(D15:D25)</f>
        <v>21479.866666666669</v>
      </c>
    </row>
    <row r="14" spans="1:9" x14ac:dyDescent="0.3">
      <c r="A14" s="113"/>
      <c r="F14" s="113"/>
    </row>
    <row r="15" spans="1:9" x14ac:dyDescent="0.3">
      <c r="A15" s="113" t="s">
        <v>23</v>
      </c>
      <c r="B15">
        <v>18000</v>
      </c>
      <c r="C15">
        <v>12000</v>
      </c>
      <c r="D15">
        <f>C15</f>
        <v>12000</v>
      </c>
      <c r="F15" s="113" t="s">
        <v>33</v>
      </c>
      <c r="G15" s="40">
        <v>9000</v>
      </c>
      <c r="H15" s="40">
        <v>14000</v>
      </c>
      <c r="I15" s="40">
        <f>H15</f>
        <v>14000</v>
      </c>
    </row>
    <row r="16" spans="1:9" x14ac:dyDescent="0.3">
      <c r="A16" s="113" t="s">
        <v>24</v>
      </c>
      <c r="B16">
        <v>600</v>
      </c>
      <c r="C16">
        <v>600</v>
      </c>
      <c r="D16">
        <f>C16/15*20</f>
        <v>800</v>
      </c>
      <c r="F16" s="113" t="s">
        <v>34</v>
      </c>
      <c r="G16" s="40">
        <f>B29</f>
        <v>4473.0600000000004</v>
      </c>
      <c r="H16" s="40">
        <f>C29</f>
        <v>2982.04</v>
      </c>
      <c r="I16" s="40">
        <f>D29</f>
        <v>2982.04</v>
      </c>
    </row>
    <row r="17" spans="1:9" x14ac:dyDescent="0.3">
      <c r="A17" s="113" t="s">
        <v>25</v>
      </c>
      <c r="B17">
        <f>50*52*18/12</f>
        <v>3900</v>
      </c>
      <c r="C17">
        <f>50*52</f>
        <v>2600</v>
      </c>
      <c r="D17" s="108">
        <f>C17/15*20</f>
        <v>3466.666666666667</v>
      </c>
      <c r="F17" s="113"/>
    </row>
    <row r="18" spans="1:9" x14ac:dyDescent="0.3">
      <c r="A18" s="113" t="s">
        <v>26</v>
      </c>
      <c r="B18">
        <v>600</v>
      </c>
      <c r="C18">
        <f>B18*1.02</f>
        <v>612</v>
      </c>
      <c r="D18">
        <f>C18*1.02/15*20</f>
        <v>832.31999999999994</v>
      </c>
      <c r="F18" s="113" t="s">
        <v>43</v>
      </c>
      <c r="G18" s="40">
        <f>B31</f>
        <v>14123.178749999999</v>
      </c>
      <c r="H18" s="40">
        <f>C31</f>
        <v>9415.4524999999994</v>
      </c>
      <c r="I18" s="40">
        <f>D31</f>
        <v>9415.4524999999994</v>
      </c>
    </row>
    <row r="19" spans="1:9" x14ac:dyDescent="0.3">
      <c r="A19" s="113" t="s">
        <v>27</v>
      </c>
      <c r="B19">
        <v>400</v>
      </c>
      <c r="C19">
        <f>B19*1.02</f>
        <v>408</v>
      </c>
      <c r="D19">
        <f>C19*1.02/15*20</f>
        <v>554.88000000000011</v>
      </c>
      <c r="F19" s="113"/>
    </row>
    <row r="20" spans="1:9" x14ac:dyDescent="0.3">
      <c r="A20" s="113" t="s">
        <v>28</v>
      </c>
      <c r="B20">
        <v>50</v>
      </c>
      <c r="C20">
        <v>50</v>
      </c>
      <c r="D20">
        <f>C20</f>
        <v>50</v>
      </c>
      <c r="F20" s="113" t="s">
        <v>44</v>
      </c>
      <c r="G20" s="40">
        <v>1000</v>
      </c>
      <c r="H20" s="40">
        <v>1000</v>
      </c>
      <c r="I20" s="40">
        <f>H20</f>
        <v>1000</v>
      </c>
    </row>
    <row r="21" spans="1:9" x14ac:dyDescent="0.3">
      <c r="A21" s="113" t="s">
        <v>29</v>
      </c>
      <c r="B21">
        <v>1500</v>
      </c>
      <c r="C21">
        <v>1000</v>
      </c>
      <c r="D21" s="108">
        <f>C21/15*20</f>
        <v>1333.3333333333335</v>
      </c>
      <c r="F21" s="113"/>
    </row>
    <row r="22" spans="1:9" x14ac:dyDescent="0.3">
      <c r="A22" s="113" t="s">
        <v>30</v>
      </c>
      <c r="B22">
        <v>120</v>
      </c>
      <c r="C22">
        <v>120</v>
      </c>
      <c r="D22">
        <f>C22</f>
        <v>120</v>
      </c>
      <c r="F22" s="155" t="s">
        <v>172</v>
      </c>
      <c r="G22" s="164">
        <f>SUM(G9:G20)</f>
        <v>59013.738749999997</v>
      </c>
      <c r="H22" s="164">
        <f>SUM(H9:H20)</f>
        <v>47452.4925</v>
      </c>
      <c r="I22" s="164">
        <f>SUM(I9:I20)</f>
        <v>49377.359166666669</v>
      </c>
    </row>
    <row r="23" spans="1:9" x14ac:dyDescent="0.3">
      <c r="A23" s="113" t="s">
        <v>173</v>
      </c>
      <c r="B23">
        <f>150*18</f>
        <v>2700</v>
      </c>
      <c r="C23">
        <f>150*12</f>
        <v>1800</v>
      </c>
      <c r="D23">
        <f>C23*1.02</f>
        <v>1836</v>
      </c>
      <c r="F23" s="157" t="s">
        <v>77</v>
      </c>
      <c r="G23" s="165">
        <f>G4-(SUM(G8:G20))</f>
        <v>-9426.9618904958625</v>
      </c>
      <c r="H23" s="165">
        <f>H4-(SUM(H8:H20))</f>
        <v>12051.639731404961</v>
      </c>
      <c r="I23" s="165">
        <f>I4-(SUM(I8:I20))</f>
        <v>11316.855709366391</v>
      </c>
    </row>
    <row r="24" spans="1:9" x14ac:dyDescent="0.3">
      <c r="A24" s="113" t="s">
        <v>31</v>
      </c>
      <c r="B24">
        <v>1500</v>
      </c>
      <c r="C24">
        <v>0</v>
      </c>
      <c r="D24">
        <v>0</v>
      </c>
      <c r="F24" s="113"/>
    </row>
    <row r="25" spans="1:9" x14ac:dyDescent="0.3">
      <c r="A25" s="113" t="s">
        <v>32</v>
      </c>
      <c r="B25">
        <f>365*18/12</f>
        <v>547.5</v>
      </c>
      <c r="C25">
        <v>365</v>
      </c>
      <c r="D25" s="108">
        <f>C25/15*20</f>
        <v>486.66666666666663</v>
      </c>
      <c r="F25" s="113" t="s">
        <v>45</v>
      </c>
      <c r="G25" s="40">
        <f>B38</f>
        <v>4276.6681181867198</v>
      </c>
      <c r="H25" s="40">
        <f>C38</f>
        <v>2632.8262992617983</v>
      </c>
      <c r="I25" s="40">
        <f>D38</f>
        <v>2454.1196546401234</v>
      </c>
    </row>
    <row r="26" spans="1:9" x14ac:dyDescent="0.3">
      <c r="A26" s="113"/>
      <c r="F26" s="155"/>
      <c r="G26" s="164"/>
    </row>
    <row r="27" spans="1:9" x14ac:dyDescent="0.3">
      <c r="A27" s="113"/>
      <c r="F27" s="157" t="s">
        <v>76</v>
      </c>
      <c r="G27" s="165">
        <f>G23-G25</f>
        <v>-13703.630008682583</v>
      </c>
      <c r="H27" s="165">
        <f>H23-H25</f>
        <v>9418.8134321431626</v>
      </c>
      <c r="I27" s="165">
        <f>I23-I25</f>
        <v>8862.7360547262688</v>
      </c>
    </row>
    <row r="28" spans="1:9" x14ac:dyDescent="0.3">
      <c r="A28" s="113" t="s">
        <v>33</v>
      </c>
      <c r="B28">
        <v>9000</v>
      </c>
      <c r="C28">
        <v>14000</v>
      </c>
      <c r="D28">
        <f>C28</f>
        <v>14000</v>
      </c>
      <c r="F28" s="113"/>
    </row>
    <row r="29" spans="1:9" x14ac:dyDescent="0.3">
      <c r="A29" s="113" t="s">
        <v>34</v>
      </c>
      <c r="B29">
        <f>Trésorerie!D76</f>
        <v>4473.0600000000004</v>
      </c>
      <c r="C29">
        <f>Trésorerie!L70</f>
        <v>2982.04</v>
      </c>
      <c r="D29">
        <f>C29</f>
        <v>2982.04</v>
      </c>
      <c r="F29" s="113" t="s">
        <v>81</v>
      </c>
      <c r="G29" s="40">
        <f>IF(G27&gt;0,G27*0.2,0)</f>
        <v>0</v>
      </c>
      <c r="H29" s="40">
        <f>IF(H27&gt;0,H27*0.2,0)</f>
        <v>1883.7626864286326</v>
      </c>
      <c r="I29" s="40">
        <f>IF(I27&gt;0,I27*0.2,0)</f>
        <v>1772.5472109452539</v>
      </c>
    </row>
    <row r="30" spans="1:9" x14ac:dyDescent="0.3">
      <c r="A30" s="113"/>
      <c r="F30" s="113"/>
    </row>
    <row r="31" spans="1:9" x14ac:dyDescent="0.3">
      <c r="A31" s="113" t="s">
        <v>43</v>
      </c>
      <c r="B31" s="1">
        <f>'Invest initial'!L15</f>
        <v>14123.178749999999</v>
      </c>
      <c r="C31" s="1">
        <f>'Invest initial'!N15</f>
        <v>9415.4524999999994</v>
      </c>
      <c r="D31" s="1">
        <f>'Invest initial'!P15</f>
        <v>9415.4524999999994</v>
      </c>
      <c r="F31" s="113" t="s">
        <v>78</v>
      </c>
      <c r="G31" s="40">
        <f>G27</f>
        <v>-13703.630008682583</v>
      </c>
      <c r="H31" s="40">
        <f>H27-H29</f>
        <v>7535.0507457145304</v>
      </c>
      <c r="I31" s="40">
        <f>I27-I29</f>
        <v>7090.1888437810148</v>
      </c>
    </row>
    <row r="32" spans="1:9" x14ac:dyDescent="0.3">
      <c r="A32" s="113"/>
      <c r="F32" s="113" t="s">
        <v>79</v>
      </c>
      <c r="G32" s="40">
        <f>G31</f>
        <v>-13703.630008682583</v>
      </c>
      <c r="H32" s="40">
        <f>H31</f>
        <v>7535.0507457145304</v>
      </c>
      <c r="I32" s="40">
        <f>I31</f>
        <v>7090.1888437810148</v>
      </c>
    </row>
    <row r="33" spans="1:9" x14ac:dyDescent="0.3">
      <c r="A33" s="113" t="s">
        <v>44</v>
      </c>
      <c r="B33">
        <v>1000</v>
      </c>
      <c r="C33">
        <v>1000</v>
      </c>
      <c r="D33">
        <f>C33</f>
        <v>1000</v>
      </c>
      <c r="F33" s="113" t="s">
        <v>82</v>
      </c>
      <c r="G33" s="40">
        <f>G32</f>
        <v>-13703.630008682583</v>
      </c>
      <c r="H33" s="40">
        <f>SUM(H34:H35)</f>
        <v>-6168.5792629680527</v>
      </c>
      <c r="I33" s="40">
        <f>SUM(I34:I35)</f>
        <v>921.60958081296212</v>
      </c>
    </row>
    <row r="34" spans="1:9" x14ac:dyDescent="0.3">
      <c r="A34" s="113"/>
      <c r="F34" s="158" t="s">
        <v>79</v>
      </c>
      <c r="G34" s="166">
        <f>G32</f>
        <v>-13703.630008682583</v>
      </c>
      <c r="H34" s="166">
        <f>H32</f>
        <v>7535.0507457145304</v>
      </c>
      <c r="I34" s="166">
        <f>I32</f>
        <v>7090.1888437810148</v>
      </c>
    </row>
    <row r="35" spans="1:9" x14ac:dyDescent="0.3">
      <c r="A35" s="155" t="s">
        <v>172</v>
      </c>
      <c r="B35" s="151">
        <f>SUM(B11:B33)</f>
        <v>59013.738749999997</v>
      </c>
      <c r="C35" s="151">
        <f t="shared" ref="C35:D35" si="1">SUM(C11:C33)</f>
        <v>47452.4925</v>
      </c>
      <c r="D35" s="151">
        <f t="shared" si="1"/>
        <v>49377.359166666669</v>
      </c>
      <c r="F35" s="158" t="s">
        <v>83</v>
      </c>
      <c r="G35" s="166"/>
      <c r="H35" s="166">
        <f>G37</f>
        <v>-13703.630008682583</v>
      </c>
      <c r="I35" s="166">
        <f>H37</f>
        <v>-6168.5792629680527</v>
      </c>
    </row>
    <row r="36" spans="1:9" x14ac:dyDescent="0.3">
      <c r="A36" s="157" t="s">
        <v>77</v>
      </c>
      <c r="B36" s="131">
        <f>B4-(SUM(B10:B33))</f>
        <v>-9426.9618904958625</v>
      </c>
      <c r="C36" s="131">
        <f t="shared" ref="C36:D36" si="2">C4-(SUM(C10:C33))</f>
        <v>12051.639731404961</v>
      </c>
      <c r="D36" s="131">
        <f t="shared" si="2"/>
        <v>11316.855709366391</v>
      </c>
      <c r="F36" s="159" t="s">
        <v>174</v>
      </c>
      <c r="G36" s="166"/>
      <c r="H36" s="166"/>
      <c r="I36" s="167">
        <f>I33*0.05</f>
        <v>46.080479040648108</v>
      </c>
    </row>
    <row r="37" spans="1:9" x14ac:dyDescent="0.3">
      <c r="A37" s="113"/>
      <c r="F37" s="157" t="s">
        <v>80</v>
      </c>
      <c r="G37" s="165">
        <f>G32</f>
        <v>-13703.630008682583</v>
      </c>
      <c r="H37" s="165">
        <f>H33</f>
        <v>-6168.5792629680527</v>
      </c>
      <c r="I37" s="165">
        <f>I33-I36</f>
        <v>875.52910177231399</v>
      </c>
    </row>
    <row r="38" spans="1:9" x14ac:dyDescent="0.3">
      <c r="A38" s="113" t="s">
        <v>45</v>
      </c>
      <c r="B38" s="108">
        <f>'Emprunt fin'!C3</f>
        <v>4276.6681181867198</v>
      </c>
      <c r="C38" s="108">
        <f>'Emprunt fin'!D4</f>
        <v>2632.8262992617983</v>
      </c>
      <c r="D38" s="108">
        <f>'Emprunt fin'!D5</f>
        <v>2454.1196546401234</v>
      </c>
    </row>
    <row r="39" spans="1:9" x14ac:dyDescent="0.3">
      <c r="A39" s="155"/>
      <c r="B39" s="42"/>
    </row>
    <row r="40" spans="1:9" x14ac:dyDescent="0.3">
      <c r="A40" s="157" t="s">
        <v>76</v>
      </c>
      <c r="B40" s="131">
        <f>B36-B38</f>
        <v>-13703.630008682583</v>
      </c>
      <c r="C40" s="131">
        <f>C36-C38</f>
        <v>9418.8134321431626</v>
      </c>
      <c r="D40" s="131">
        <f>D36-D38</f>
        <v>8862.7360547262688</v>
      </c>
    </row>
    <row r="41" spans="1:9" x14ac:dyDescent="0.3">
      <c r="A41" s="113"/>
    </row>
    <row r="42" spans="1:9" x14ac:dyDescent="0.3">
      <c r="A42" s="113" t="s">
        <v>81</v>
      </c>
      <c r="B42" s="41">
        <f>IF(B40&gt;0,B40*0.2,0)</f>
        <v>0</v>
      </c>
      <c r="C42" s="41">
        <f>IF(C40&gt;0,C40*0.2,0)</f>
        <v>1883.7626864286326</v>
      </c>
      <c r="D42" s="41">
        <f>IF(D40&gt;0,D40*0.2,0)</f>
        <v>1772.5472109452539</v>
      </c>
    </row>
    <row r="43" spans="1:9" x14ac:dyDescent="0.3">
      <c r="A43" s="113"/>
    </row>
    <row r="44" spans="1:9" x14ac:dyDescent="0.3">
      <c r="A44" s="113" t="s">
        <v>78</v>
      </c>
      <c r="B44" s="41">
        <f>B40</f>
        <v>-13703.630008682583</v>
      </c>
      <c r="C44" s="41">
        <f>C40-C42</f>
        <v>7535.0507457145304</v>
      </c>
      <c r="D44" s="41">
        <f>D40-D42</f>
        <v>7090.1888437810148</v>
      </c>
    </row>
    <row r="45" spans="1:9" x14ac:dyDescent="0.3">
      <c r="A45" s="113" t="s">
        <v>79</v>
      </c>
      <c r="B45" s="41">
        <f>B44</f>
        <v>-13703.630008682583</v>
      </c>
      <c r="C45" s="41">
        <f>C44</f>
        <v>7535.0507457145304</v>
      </c>
      <c r="D45" s="41">
        <f>D44</f>
        <v>7090.1888437810148</v>
      </c>
    </row>
    <row r="46" spans="1:9" x14ac:dyDescent="0.3">
      <c r="A46" s="113" t="s">
        <v>82</v>
      </c>
      <c r="B46" s="41">
        <f>B45</f>
        <v>-13703.630008682583</v>
      </c>
      <c r="C46" s="41">
        <f>SUM(C47:C48)</f>
        <v>-6168.5792629680527</v>
      </c>
      <c r="D46" s="41">
        <f>SUM(D47:D48)</f>
        <v>921.60958081296212</v>
      </c>
    </row>
    <row r="47" spans="1:9" x14ac:dyDescent="0.3">
      <c r="A47" s="158" t="s">
        <v>79</v>
      </c>
      <c r="B47" s="152">
        <f>B45</f>
        <v>-13703.630008682583</v>
      </c>
      <c r="C47" s="152">
        <f>C45</f>
        <v>7535.0507457145304</v>
      </c>
      <c r="D47" s="152">
        <f>D45</f>
        <v>7090.1888437810148</v>
      </c>
    </row>
    <row r="48" spans="1:9" x14ac:dyDescent="0.3">
      <c r="A48" s="158" t="s">
        <v>83</v>
      </c>
      <c r="B48" s="152"/>
      <c r="C48" s="152">
        <f>B50</f>
        <v>-13703.630008682583</v>
      </c>
      <c r="D48" s="152">
        <f>C50</f>
        <v>-6168.5792629680527</v>
      </c>
    </row>
    <row r="49" spans="1:4" x14ac:dyDescent="0.3">
      <c r="A49" s="159" t="s">
        <v>174</v>
      </c>
      <c r="B49" s="152"/>
      <c r="C49" s="152"/>
      <c r="D49" s="160">
        <f>D46*0.05</f>
        <v>46.080479040648108</v>
      </c>
    </row>
    <row r="50" spans="1:4" x14ac:dyDescent="0.3">
      <c r="A50" s="157" t="s">
        <v>80</v>
      </c>
      <c r="B50" s="131">
        <f>B45</f>
        <v>-13703.630008682583</v>
      </c>
      <c r="C50" s="131">
        <f>C46</f>
        <v>-6168.5792629680527</v>
      </c>
      <c r="D50" s="131">
        <f>D46-D49</f>
        <v>875.52910177231399</v>
      </c>
    </row>
    <row r="68" spans="10:11" x14ac:dyDescent="0.3">
      <c r="J68" s="41"/>
      <c r="K68" s="41"/>
    </row>
  </sheetData>
  <mergeCells count="2">
    <mergeCell ref="A1:D1"/>
    <mergeCell ref="F1:I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F62A4-18E4-4903-B6A2-D6E6DC9E6BB2}">
  <dimension ref="A1:BN193"/>
  <sheetViews>
    <sheetView topLeftCell="A165" zoomScale="55" zoomScaleNormal="55" workbookViewId="0">
      <selection activeCell="I123" sqref="I123:O130"/>
    </sheetView>
  </sheetViews>
  <sheetFormatPr baseColWidth="10" defaultRowHeight="14" x14ac:dyDescent="0.3"/>
  <cols>
    <col min="1" max="1" width="34.09765625" customWidth="1"/>
    <col min="2" max="2" width="16.296875" bestFit="1" customWidth="1"/>
    <col min="3" max="3" width="16.5" bestFit="1" customWidth="1"/>
    <col min="4" max="4" width="13.19921875" bestFit="1" customWidth="1"/>
    <col min="5" max="5" width="12.69921875" bestFit="1" customWidth="1"/>
    <col min="6" max="6" width="12" customWidth="1"/>
    <col min="7" max="9" width="11.69921875" bestFit="1" customWidth="1"/>
    <col min="10" max="10" width="16.296875" bestFit="1" customWidth="1"/>
    <col min="11" max="11" width="16.5" bestFit="1" customWidth="1"/>
    <col min="12" max="12" width="12.796875" customWidth="1"/>
    <col min="13" max="13" width="13.5" bestFit="1" customWidth="1"/>
    <col min="14" max="14" width="11.69921875" bestFit="1" customWidth="1"/>
    <col min="15" max="15" width="14.5" bestFit="1" customWidth="1"/>
    <col min="16" max="17" width="11.69921875" bestFit="1" customWidth="1"/>
    <col min="18" max="18" width="16.296875" bestFit="1" customWidth="1"/>
    <col min="19" max="19" width="12.69921875" bestFit="1" customWidth="1"/>
    <col min="20" max="20" width="11.69921875" bestFit="1" customWidth="1"/>
    <col min="21" max="21" width="11.796875" bestFit="1" customWidth="1"/>
    <col min="22" max="22" width="11.296875" customWidth="1"/>
    <col min="23" max="23" width="10.69921875" bestFit="1" customWidth="1"/>
    <col min="24" max="24" width="8.59765625" bestFit="1" customWidth="1"/>
    <col min="25" max="30" width="4.69921875" customWidth="1"/>
  </cols>
  <sheetData>
    <row r="1" spans="1:24" x14ac:dyDescent="0.3">
      <c r="A1">
        <v>400</v>
      </c>
      <c r="C1" s="31" t="s">
        <v>21</v>
      </c>
      <c r="D1" s="32">
        <v>1</v>
      </c>
      <c r="E1" s="32">
        <v>2</v>
      </c>
      <c r="F1" s="32">
        <v>3</v>
      </c>
      <c r="G1" s="32">
        <v>4</v>
      </c>
      <c r="H1" s="32">
        <v>5</v>
      </c>
      <c r="I1" s="32">
        <v>6</v>
      </c>
      <c r="J1" s="32">
        <v>7</v>
      </c>
      <c r="K1" s="32">
        <v>8</v>
      </c>
      <c r="L1" s="32">
        <v>9</v>
      </c>
      <c r="M1" s="32">
        <v>10</v>
      </c>
      <c r="N1" s="32">
        <v>11</v>
      </c>
      <c r="O1" s="32">
        <v>12</v>
      </c>
      <c r="P1" s="32">
        <v>13</v>
      </c>
      <c r="Q1" s="32">
        <v>14</v>
      </c>
      <c r="R1" s="32">
        <v>15</v>
      </c>
      <c r="S1" s="32">
        <v>16</v>
      </c>
      <c r="T1" s="32">
        <v>17</v>
      </c>
      <c r="U1" s="33">
        <v>18</v>
      </c>
    </row>
    <row r="2" spans="1:24" x14ac:dyDescent="0.3">
      <c r="C2" s="34"/>
      <c r="D2" s="35"/>
      <c r="E2" s="35"/>
      <c r="F2" s="35"/>
      <c r="G2" s="35"/>
      <c r="H2" s="35"/>
      <c r="I2" s="35"/>
      <c r="J2" s="35"/>
      <c r="K2" s="35"/>
      <c r="L2" s="35"/>
      <c r="M2" s="35"/>
      <c r="N2" s="35"/>
      <c r="O2" s="35"/>
      <c r="P2" s="35"/>
      <c r="Q2" s="35"/>
      <c r="R2" s="35"/>
      <c r="S2" s="35"/>
      <c r="T2" s="35"/>
      <c r="U2" s="36"/>
    </row>
    <row r="3" spans="1:24" x14ac:dyDescent="0.3">
      <c r="C3" s="37" t="s">
        <v>22</v>
      </c>
      <c r="D3" s="38">
        <v>0</v>
      </c>
      <c r="E3" s="38">
        <v>0</v>
      </c>
      <c r="F3" s="38">
        <v>0</v>
      </c>
      <c r="G3" s="38">
        <v>0</v>
      </c>
      <c r="H3" s="38">
        <v>0</v>
      </c>
      <c r="I3" s="38">
        <v>0</v>
      </c>
      <c r="J3" s="38">
        <v>3</v>
      </c>
      <c r="K3" s="38">
        <v>6</v>
      </c>
      <c r="L3" s="38">
        <v>9</v>
      </c>
      <c r="M3" s="38">
        <v>12</v>
      </c>
      <c r="N3" s="38">
        <v>15</v>
      </c>
      <c r="O3" s="38">
        <f>N3</f>
        <v>15</v>
      </c>
      <c r="P3" s="38">
        <f t="shared" ref="P3:U3" si="0">O3</f>
        <v>15</v>
      </c>
      <c r="Q3" s="38">
        <f t="shared" si="0"/>
        <v>15</v>
      </c>
      <c r="R3" s="38">
        <f t="shared" si="0"/>
        <v>15</v>
      </c>
      <c r="S3" s="38">
        <f t="shared" si="0"/>
        <v>15</v>
      </c>
      <c r="T3" s="38">
        <f t="shared" si="0"/>
        <v>15</v>
      </c>
      <c r="U3" s="39">
        <f t="shared" si="0"/>
        <v>15</v>
      </c>
    </row>
    <row r="4" spans="1:24" x14ac:dyDescent="0.3">
      <c r="C4" s="133"/>
      <c r="D4" s="133"/>
      <c r="E4" s="133"/>
      <c r="F4" s="133"/>
      <c r="G4" s="133"/>
      <c r="H4" s="133"/>
      <c r="I4" s="133"/>
      <c r="J4" s="133"/>
      <c r="K4" s="133"/>
      <c r="L4" s="133"/>
      <c r="M4" s="133"/>
      <c r="N4" s="133"/>
      <c r="O4" s="133"/>
      <c r="P4" s="133"/>
      <c r="Q4" s="133"/>
      <c r="R4" s="133"/>
      <c r="S4" s="133"/>
      <c r="T4" s="133"/>
      <c r="U4" s="133"/>
    </row>
    <row r="5" spans="1:24" ht="15.05" x14ac:dyDescent="0.3">
      <c r="C5" s="180" t="s">
        <v>73</v>
      </c>
      <c r="D5" s="180"/>
      <c r="E5" s="180"/>
      <c r="F5" s="180"/>
      <c r="G5" s="180"/>
      <c r="H5" s="180"/>
      <c r="I5" s="180"/>
      <c r="J5" s="180" t="s">
        <v>74</v>
      </c>
      <c r="K5" s="180"/>
      <c r="L5" s="180"/>
      <c r="M5" s="180"/>
      <c r="N5" s="180"/>
      <c r="O5" s="180"/>
      <c r="P5" s="180"/>
      <c r="Q5" s="133"/>
      <c r="R5" s="180" t="s">
        <v>75</v>
      </c>
      <c r="S5" s="180"/>
      <c r="T5" s="180"/>
      <c r="U5" s="180"/>
      <c r="V5" s="180"/>
      <c r="W5" s="180"/>
      <c r="X5" s="180"/>
    </row>
    <row r="7" spans="1:24" x14ac:dyDescent="0.3">
      <c r="C7" s="177" t="s">
        <v>91</v>
      </c>
      <c r="D7" s="177"/>
      <c r="E7" s="178"/>
      <c r="F7" s="111" t="s">
        <v>90</v>
      </c>
      <c r="G7" s="110"/>
      <c r="H7" s="110"/>
      <c r="I7" s="113"/>
      <c r="K7" s="177" t="s">
        <v>91</v>
      </c>
      <c r="L7" s="177"/>
      <c r="M7" s="178"/>
      <c r="N7" s="111" t="s">
        <v>90</v>
      </c>
      <c r="O7" s="110"/>
      <c r="P7" s="110"/>
      <c r="Q7" s="113"/>
      <c r="S7" s="177" t="s">
        <v>91</v>
      </c>
      <c r="T7" s="177"/>
      <c r="U7" s="178"/>
      <c r="V7" s="111" t="s">
        <v>90</v>
      </c>
      <c r="W7" s="110"/>
      <c r="X7" s="110"/>
    </row>
    <row r="8" spans="1:24" x14ac:dyDescent="0.3">
      <c r="C8" s="112" t="s">
        <v>87</v>
      </c>
      <c r="D8" s="112" t="s">
        <v>88</v>
      </c>
      <c r="E8" s="113" t="s">
        <v>89</v>
      </c>
      <c r="F8" t="s">
        <v>104</v>
      </c>
      <c r="I8" s="113"/>
      <c r="K8" s="112" t="s">
        <v>87</v>
      </c>
      <c r="L8" s="112" t="s">
        <v>88</v>
      </c>
      <c r="M8" s="113" t="s">
        <v>89</v>
      </c>
      <c r="N8" t="s">
        <v>104</v>
      </c>
      <c r="Q8" s="113"/>
      <c r="S8" s="112" t="s">
        <v>87</v>
      </c>
      <c r="T8" s="112" t="s">
        <v>88</v>
      </c>
      <c r="U8" s="113" t="s">
        <v>89</v>
      </c>
      <c r="V8" t="s">
        <v>104</v>
      </c>
    </row>
    <row r="9" spans="1:24" x14ac:dyDescent="0.3">
      <c r="B9">
        <v>1</v>
      </c>
      <c r="C9" s="114"/>
      <c r="D9" s="114"/>
      <c r="E9" s="115"/>
      <c r="F9">
        <v>1</v>
      </c>
      <c r="G9" s="118"/>
      <c r="I9" s="113"/>
      <c r="J9">
        <v>1</v>
      </c>
      <c r="K9" s="114">
        <f t="shared" ref="K9:K14" si="1">M9/1.21</f>
        <v>4958.6776859504134</v>
      </c>
      <c r="L9" s="114">
        <f t="shared" ref="L9:L14" si="2">K9*0.21</f>
        <v>1041.3223140495868</v>
      </c>
      <c r="M9" s="115">
        <f>15*400</f>
        <v>6000</v>
      </c>
      <c r="N9">
        <v>1</v>
      </c>
      <c r="O9" s="119"/>
      <c r="Q9" s="113"/>
      <c r="R9">
        <v>1</v>
      </c>
      <c r="S9" s="114">
        <f t="shared" ref="S9:S14" si="3">U9/1.21</f>
        <v>5057.8512396694214</v>
      </c>
      <c r="T9" s="114">
        <f t="shared" ref="T9:T14" si="4">S9*0.21</f>
        <v>1062.1487603305784</v>
      </c>
      <c r="U9" s="115">
        <f>15*400*1.02</f>
        <v>6120</v>
      </c>
      <c r="V9">
        <v>1</v>
      </c>
      <c r="W9" s="119"/>
    </row>
    <row r="10" spans="1:24" x14ac:dyDescent="0.3">
      <c r="B10">
        <v>2</v>
      </c>
      <c r="C10" s="114"/>
      <c r="D10" s="114"/>
      <c r="E10" s="115"/>
      <c r="F10">
        <v>2</v>
      </c>
      <c r="G10" s="118"/>
      <c r="I10" s="113"/>
      <c r="J10">
        <v>2</v>
      </c>
      <c r="K10" s="114">
        <f t="shared" si="1"/>
        <v>4958.6776859504134</v>
      </c>
      <c r="L10" s="114">
        <f t="shared" si="2"/>
        <v>1041.3223140495868</v>
      </c>
      <c r="M10" s="115">
        <f t="shared" ref="M10:M20" si="5">15*400</f>
        <v>6000</v>
      </c>
      <c r="N10">
        <v>2</v>
      </c>
      <c r="O10" s="119">
        <f t="shared" ref="O10:O15" si="6">M9</f>
        <v>6000</v>
      </c>
      <c r="Q10" s="113"/>
      <c r="R10">
        <v>2</v>
      </c>
      <c r="S10" s="114">
        <f t="shared" si="3"/>
        <v>5057.8512396694214</v>
      </c>
      <c r="T10" s="114">
        <f t="shared" si="4"/>
        <v>1062.1487603305784</v>
      </c>
      <c r="U10" s="115">
        <f t="shared" ref="U10:U20" si="7">15*400*1.02</f>
        <v>6120</v>
      </c>
      <c r="V10">
        <v>2</v>
      </c>
      <c r="W10" s="119">
        <f t="shared" ref="W10:W15" si="8">U9</f>
        <v>6120</v>
      </c>
    </row>
    <row r="11" spans="1:24" x14ac:dyDescent="0.3">
      <c r="B11">
        <v>3</v>
      </c>
      <c r="C11" s="114"/>
      <c r="D11" s="114"/>
      <c r="E11" s="115"/>
      <c r="F11">
        <v>3</v>
      </c>
      <c r="G11" s="118"/>
      <c r="I11" s="113"/>
      <c r="J11">
        <v>3</v>
      </c>
      <c r="K11" s="114">
        <f t="shared" si="1"/>
        <v>4958.6776859504134</v>
      </c>
      <c r="L11" s="114">
        <f t="shared" si="2"/>
        <v>1041.3223140495868</v>
      </c>
      <c r="M11" s="115">
        <f t="shared" si="5"/>
        <v>6000</v>
      </c>
      <c r="N11">
        <v>3</v>
      </c>
      <c r="O11" s="119">
        <f t="shared" si="6"/>
        <v>6000</v>
      </c>
      <c r="Q11" s="113"/>
      <c r="R11">
        <v>3</v>
      </c>
      <c r="S11" s="114">
        <f t="shared" si="3"/>
        <v>5057.8512396694214</v>
      </c>
      <c r="T11" s="114">
        <f t="shared" si="4"/>
        <v>1062.1487603305784</v>
      </c>
      <c r="U11" s="115">
        <f t="shared" si="7"/>
        <v>6120</v>
      </c>
      <c r="V11">
        <v>3</v>
      </c>
      <c r="W11" s="119">
        <f t="shared" si="8"/>
        <v>6120</v>
      </c>
    </row>
    <row r="12" spans="1:24" x14ac:dyDescent="0.3">
      <c r="B12">
        <v>4</v>
      </c>
      <c r="C12" s="114"/>
      <c r="D12" s="114"/>
      <c r="E12" s="115"/>
      <c r="F12">
        <v>4</v>
      </c>
      <c r="G12" s="118"/>
      <c r="I12" s="113"/>
      <c r="J12">
        <v>4</v>
      </c>
      <c r="K12" s="114">
        <f t="shared" si="1"/>
        <v>4958.6776859504134</v>
      </c>
      <c r="L12" s="114">
        <f t="shared" si="2"/>
        <v>1041.3223140495868</v>
      </c>
      <c r="M12" s="115">
        <f t="shared" si="5"/>
        <v>6000</v>
      </c>
      <c r="N12">
        <v>4</v>
      </c>
      <c r="O12" s="119">
        <f t="shared" si="6"/>
        <v>6000</v>
      </c>
      <c r="Q12" s="113"/>
      <c r="R12">
        <v>4</v>
      </c>
      <c r="S12" s="114">
        <f t="shared" si="3"/>
        <v>5057.8512396694214</v>
      </c>
      <c r="T12" s="114">
        <f t="shared" si="4"/>
        <v>1062.1487603305784</v>
      </c>
      <c r="U12" s="115">
        <f t="shared" si="7"/>
        <v>6120</v>
      </c>
      <c r="V12">
        <v>4</v>
      </c>
      <c r="W12" s="119">
        <f t="shared" si="8"/>
        <v>6120</v>
      </c>
    </row>
    <row r="13" spans="1:24" x14ac:dyDescent="0.3">
      <c r="B13">
        <v>5</v>
      </c>
      <c r="C13" s="114"/>
      <c r="D13" s="114"/>
      <c r="E13" s="115"/>
      <c r="F13">
        <v>5</v>
      </c>
      <c r="G13" s="118"/>
      <c r="I13" s="113"/>
      <c r="J13">
        <v>5</v>
      </c>
      <c r="K13" s="114">
        <f t="shared" si="1"/>
        <v>4958.6776859504134</v>
      </c>
      <c r="L13" s="114">
        <f t="shared" si="2"/>
        <v>1041.3223140495868</v>
      </c>
      <c r="M13" s="115">
        <f t="shared" si="5"/>
        <v>6000</v>
      </c>
      <c r="N13">
        <v>5</v>
      </c>
      <c r="O13" s="119">
        <f t="shared" si="6"/>
        <v>6000</v>
      </c>
      <c r="Q13" s="113"/>
      <c r="R13">
        <v>5</v>
      </c>
      <c r="S13" s="114">
        <f t="shared" si="3"/>
        <v>5057.8512396694214</v>
      </c>
      <c r="T13" s="114">
        <f t="shared" si="4"/>
        <v>1062.1487603305784</v>
      </c>
      <c r="U13" s="115">
        <f t="shared" si="7"/>
        <v>6120</v>
      </c>
      <c r="V13">
        <v>5</v>
      </c>
      <c r="W13" s="119">
        <f t="shared" si="8"/>
        <v>6120</v>
      </c>
    </row>
    <row r="14" spans="1:24" x14ac:dyDescent="0.3">
      <c r="B14">
        <v>6</v>
      </c>
      <c r="C14" s="114"/>
      <c r="D14" s="114"/>
      <c r="E14" s="115"/>
      <c r="F14">
        <v>6</v>
      </c>
      <c r="G14" s="118"/>
      <c r="I14" s="113"/>
      <c r="J14">
        <v>6</v>
      </c>
      <c r="K14" s="114">
        <f t="shared" si="1"/>
        <v>4958.6776859504134</v>
      </c>
      <c r="L14" s="114">
        <f t="shared" si="2"/>
        <v>1041.3223140495868</v>
      </c>
      <c r="M14" s="115">
        <f t="shared" si="5"/>
        <v>6000</v>
      </c>
      <c r="N14">
        <v>6</v>
      </c>
      <c r="O14" s="119">
        <f t="shared" si="6"/>
        <v>6000</v>
      </c>
      <c r="Q14" s="113"/>
      <c r="R14">
        <v>6</v>
      </c>
      <c r="S14" s="114">
        <f t="shared" si="3"/>
        <v>5057.8512396694214</v>
      </c>
      <c r="T14" s="114">
        <f t="shared" si="4"/>
        <v>1062.1487603305784</v>
      </c>
      <c r="U14" s="115">
        <f t="shared" si="7"/>
        <v>6120</v>
      </c>
      <c r="V14">
        <v>6</v>
      </c>
      <c r="W14" s="119">
        <f t="shared" si="8"/>
        <v>6120</v>
      </c>
    </row>
    <row r="15" spans="1:24" x14ac:dyDescent="0.3">
      <c r="B15">
        <v>7</v>
      </c>
      <c r="C15" s="114">
        <f>E15/1.21</f>
        <v>991.73553719008271</v>
      </c>
      <c r="D15" s="114">
        <f>C15*0.21</f>
        <v>208.26446280991735</v>
      </c>
      <c r="E15" s="115">
        <f>J3*400</f>
        <v>1200</v>
      </c>
      <c r="F15">
        <v>7</v>
      </c>
      <c r="G15" s="118"/>
      <c r="I15" s="113"/>
      <c r="J15">
        <v>7</v>
      </c>
      <c r="K15" s="114">
        <f>M15/1.21</f>
        <v>4958.6776859504134</v>
      </c>
      <c r="L15" s="114">
        <f>K15*0.21</f>
        <v>1041.3223140495868</v>
      </c>
      <c r="M15" s="115">
        <f t="shared" si="5"/>
        <v>6000</v>
      </c>
      <c r="N15">
        <v>7</v>
      </c>
      <c r="O15" s="119">
        <f t="shared" si="6"/>
        <v>6000</v>
      </c>
      <c r="Q15" s="113"/>
      <c r="R15">
        <v>7</v>
      </c>
      <c r="S15" s="114">
        <f>U15/1.21</f>
        <v>5057.8512396694214</v>
      </c>
      <c r="T15" s="114">
        <f>S15*0.21</f>
        <v>1062.1487603305784</v>
      </c>
      <c r="U15" s="115">
        <f t="shared" si="7"/>
        <v>6120</v>
      </c>
      <c r="V15">
        <v>7</v>
      </c>
      <c r="W15" s="119">
        <f t="shared" si="8"/>
        <v>6120</v>
      </c>
    </row>
    <row r="16" spans="1:24" x14ac:dyDescent="0.3">
      <c r="B16">
        <v>8</v>
      </c>
      <c r="C16" s="114">
        <f t="shared" ref="C16:C26" si="9">E16/1.21</f>
        <v>1983.4710743801654</v>
      </c>
      <c r="D16" s="114">
        <f t="shared" ref="D16:D26" si="10">C16*0.21</f>
        <v>416.52892561983469</v>
      </c>
      <c r="E16" s="115">
        <f>K3*A1</f>
        <v>2400</v>
      </c>
      <c r="F16">
        <v>8</v>
      </c>
      <c r="G16" s="119">
        <f>E15</f>
        <v>1200</v>
      </c>
      <c r="I16" s="113"/>
      <c r="J16">
        <v>8</v>
      </c>
      <c r="K16" s="114">
        <f t="shared" ref="K16:K20" si="11">M16/1.21</f>
        <v>4958.6776859504134</v>
      </c>
      <c r="L16" s="114">
        <f t="shared" ref="L16:L20" si="12">K16*0.21</f>
        <v>1041.3223140495868</v>
      </c>
      <c r="M16" s="115">
        <f t="shared" si="5"/>
        <v>6000</v>
      </c>
      <c r="N16">
        <v>8</v>
      </c>
      <c r="O16" s="119">
        <f>M15</f>
        <v>6000</v>
      </c>
      <c r="Q16" s="113"/>
      <c r="R16">
        <v>8</v>
      </c>
      <c r="S16" s="114">
        <f t="shared" ref="S16:S20" si="13">U16/1.21</f>
        <v>5057.8512396694214</v>
      </c>
      <c r="T16" s="114">
        <f t="shared" ref="T16:T20" si="14">S16*0.21</f>
        <v>1062.1487603305784</v>
      </c>
      <c r="U16" s="115">
        <f t="shared" si="7"/>
        <v>6120</v>
      </c>
      <c r="V16">
        <v>8</v>
      </c>
      <c r="W16" s="119">
        <f>U15</f>
        <v>6120</v>
      </c>
    </row>
    <row r="17" spans="2:24" x14ac:dyDescent="0.3">
      <c r="B17">
        <v>9</v>
      </c>
      <c r="C17" s="114">
        <f t="shared" si="9"/>
        <v>2975.2066115702482</v>
      </c>
      <c r="D17" s="114">
        <f t="shared" si="10"/>
        <v>624.7933884297521</v>
      </c>
      <c r="E17" s="115">
        <f>L3*A1</f>
        <v>3600</v>
      </c>
      <c r="F17">
        <v>9</v>
      </c>
      <c r="G17" s="119">
        <f t="shared" ref="G17:G27" si="15">E16</f>
        <v>2400</v>
      </c>
      <c r="I17" s="113"/>
      <c r="J17">
        <v>9</v>
      </c>
      <c r="K17" s="114">
        <f t="shared" si="11"/>
        <v>4958.6776859504134</v>
      </c>
      <c r="L17" s="114">
        <f t="shared" si="12"/>
        <v>1041.3223140495868</v>
      </c>
      <c r="M17" s="115">
        <f t="shared" si="5"/>
        <v>6000</v>
      </c>
      <c r="N17">
        <v>9</v>
      </c>
      <c r="O17" s="119">
        <f t="shared" ref="O17:O20" si="16">M16</f>
        <v>6000</v>
      </c>
      <c r="Q17" s="113"/>
      <c r="R17">
        <v>9</v>
      </c>
      <c r="S17" s="114">
        <f t="shared" si="13"/>
        <v>5057.8512396694214</v>
      </c>
      <c r="T17" s="114">
        <f t="shared" si="14"/>
        <v>1062.1487603305784</v>
      </c>
      <c r="U17" s="115">
        <f t="shared" si="7"/>
        <v>6120</v>
      </c>
      <c r="V17">
        <v>9</v>
      </c>
      <c r="W17" s="119">
        <f t="shared" ref="W17:W20" si="17">U16</f>
        <v>6120</v>
      </c>
    </row>
    <row r="18" spans="2:24" x14ac:dyDescent="0.3">
      <c r="B18">
        <v>10</v>
      </c>
      <c r="C18" s="114">
        <f t="shared" si="9"/>
        <v>3966.9421487603308</v>
      </c>
      <c r="D18" s="114">
        <f t="shared" si="10"/>
        <v>833.05785123966939</v>
      </c>
      <c r="E18" s="115">
        <f>M3*A1</f>
        <v>4800</v>
      </c>
      <c r="F18">
        <v>10</v>
      </c>
      <c r="G18" s="119">
        <f t="shared" si="15"/>
        <v>3600</v>
      </c>
      <c r="I18" s="113"/>
      <c r="J18">
        <v>10</v>
      </c>
      <c r="K18" s="114">
        <f t="shared" si="11"/>
        <v>4958.6776859504134</v>
      </c>
      <c r="L18" s="114">
        <f t="shared" si="12"/>
        <v>1041.3223140495868</v>
      </c>
      <c r="M18" s="115">
        <f t="shared" si="5"/>
        <v>6000</v>
      </c>
      <c r="N18">
        <v>10</v>
      </c>
      <c r="O18" s="119">
        <f t="shared" si="16"/>
        <v>6000</v>
      </c>
      <c r="Q18" s="113"/>
      <c r="R18">
        <v>10</v>
      </c>
      <c r="S18" s="114">
        <f t="shared" si="13"/>
        <v>5057.8512396694214</v>
      </c>
      <c r="T18" s="114">
        <f t="shared" si="14"/>
        <v>1062.1487603305784</v>
      </c>
      <c r="U18" s="115">
        <f t="shared" si="7"/>
        <v>6120</v>
      </c>
      <c r="V18">
        <v>10</v>
      </c>
      <c r="W18" s="119">
        <f t="shared" si="17"/>
        <v>6120</v>
      </c>
    </row>
    <row r="19" spans="2:24" x14ac:dyDescent="0.3">
      <c r="B19">
        <v>11</v>
      </c>
      <c r="C19" s="114">
        <f t="shared" si="9"/>
        <v>4958.6776859504134</v>
      </c>
      <c r="D19" s="114">
        <f t="shared" si="10"/>
        <v>1041.3223140495868</v>
      </c>
      <c r="E19" s="115">
        <f>N3*A1</f>
        <v>6000</v>
      </c>
      <c r="F19">
        <v>11</v>
      </c>
      <c r="G19" s="119">
        <f t="shared" si="15"/>
        <v>4800</v>
      </c>
      <c r="I19" s="113"/>
      <c r="J19">
        <v>11</v>
      </c>
      <c r="K19" s="114">
        <f t="shared" si="11"/>
        <v>4958.6776859504134</v>
      </c>
      <c r="L19" s="114">
        <f t="shared" si="12"/>
        <v>1041.3223140495868</v>
      </c>
      <c r="M19" s="115">
        <f t="shared" si="5"/>
        <v>6000</v>
      </c>
      <c r="N19">
        <v>11</v>
      </c>
      <c r="O19" s="119">
        <f t="shared" si="16"/>
        <v>6000</v>
      </c>
      <c r="Q19" s="113"/>
      <c r="R19">
        <v>11</v>
      </c>
      <c r="S19" s="114">
        <f t="shared" si="13"/>
        <v>5057.8512396694214</v>
      </c>
      <c r="T19" s="114">
        <f t="shared" si="14"/>
        <v>1062.1487603305784</v>
      </c>
      <c r="U19" s="115">
        <f t="shared" si="7"/>
        <v>6120</v>
      </c>
      <c r="V19">
        <v>11</v>
      </c>
      <c r="W19" s="119">
        <f t="shared" si="17"/>
        <v>6120</v>
      </c>
    </row>
    <row r="20" spans="2:24" x14ac:dyDescent="0.3">
      <c r="B20">
        <v>12</v>
      </c>
      <c r="C20" s="114">
        <f t="shared" si="9"/>
        <v>4958.6776859504134</v>
      </c>
      <c r="D20" s="114">
        <f t="shared" si="10"/>
        <v>1041.3223140495868</v>
      </c>
      <c r="E20" s="115">
        <v>6000</v>
      </c>
      <c r="F20">
        <v>12</v>
      </c>
      <c r="G20" s="119">
        <f t="shared" si="15"/>
        <v>6000</v>
      </c>
      <c r="I20" s="113"/>
      <c r="J20">
        <v>12</v>
      </c>
      <c r="K20" s="114">
        <f t="shared" si="11"/>
        <v>4958.6776859504134</v>
      </c>
      <c r="L20" s="114">
        <f t="shared" si="12"/>
        <v>1041.3223140495868</v>
      </c>
      <c r="M20" s="115">
        <f t="shared" si="5"/>
        <v>6000</v>
      </c>
      <c r="N20">
        <v>12</v>
      </c>
      <c r="O20" s="119">
        <f t="shared" si="16"/>
        <v>6000</v>
      </c>
      <c r="Q20" s="113"/>
      <c r="R20">
        <v>12</v>
      </c>
      <c r="S20" s="114">
        <f t="shared" si="13"/>
        <v>5057.8512396694214</v>
      </c>
      <c r="T20" s="114">
        <f t="shared" si="14"/>
        <v>1062.1487603305784</v>
      </c>
      <c r="U20" s="115">
        <f t="shared" si="7"/>
        <v>6120</v>
      </c>
      <c r="V20">
        <v>12</v>
      </c>
      <c r="W20" s="119">
        <f t="shared" si="17"/>
        <v>6120</v>
      </c>
    </row>
    <row r="21" spans="2:24" x14ac:dyDescent="0.3">
      <c r="B21">
        <v>13</v>
      </c>
      <c r="C21" s="114">
        <f t="shared" si="9"/>
        <v>4958.6776859504134</v>
      </c>
      <c r="D21" s="114">
        <f t="shared" si="10"/>
        <v>1041.3223140495868</v>
      </c>
      <c r="E21" s="115">
        <f>E20</f>
        <v>6000</v>
      </c>
      <c r="F21">
        <v>13</v>
      </c>
      <c r="G21" s="119">
        <f t="shared" si="15"/>
        <v>6000</v>
      </c>
      <c r="I21" s="113"/>
      <c r="J21" t="s">
        <v>2</v>
      </c>
      <c r="K21" s="116">
        <f>SUM(K9:K20)</f>
        <v>59504.132231404976</v>
      </c>
      <c r="L21" s="114">
        <f>SUM(L9:L20)</f>
        <v>12495.867768595041</v>
      </c>
      <c r="M21" s="117">
        <f>SUM(M9:M20)</f>
        <v>72000</v>
      </c>
      <c r="N21" t="s">
        <v>146</v>
      </c>
      <c r="O21" s="119">
        <f>M20</f>
        <v>6000</v>
      </c>
      <c r="Q21" s="113"/>
      <c r="R21" t="s">
        <v>2</v>
      </c>
      <c r="S21" s="116">
        <f>SUM(S9:S20)</f>
        <v>60694.214876033053</v>
      </c>
      <c r="T21" s="114">
        <f>SUM(T9:T20)</f>
        <v>12745.785123966938</v>
      </c>
      <c r="U21" s="117">
        <f>SUM(U9:U20)</f>
        <v>73440</v>
      </c>
      <c r="V21" t="s">
        <v>146</v>
      </c>
      <c r="W21" s="119">
        <f>U20</f>
        <v>6120</v>
      </c>
    </row>
    <row r="22" spans="2:24" x14ac:dyDescent="0.3">
      <c r="B22">
        <v>14</v>
      </c>
      <c r="C22" s="114">
        <f t="shared" si="9"/>
        <v>4958.6776859504134</v>
      </c>
      <c r="D22" s="114">
        <f t="shared" si="10"/>
        <v>1041.3223140495868</v>
      </c>
      <c r="E22" s="115">
        <f t="shared" ref="E22:E26" si="18">E21</f>
        <v>6000</v>
      </c>
      <c r="F22">
        <v>14</v>
      </c>
      <c r="G22" s="119">
        <f t="shared" si="15"/>
        <v>6000</v>
      </c>
      <c r="I22" s="113"/>
      <c r="Q22" s="113"/>
    </row>
    <row r="23" spans="2:24" x14ac:dyDescent="0.3">
      <c r="B23">
        <v>15</v>
      </c>
      <c r="C23" s="114">
        <f t="shared" si="9"/>
        <v>4958.6776859504134</v>
      </c>
      <c r="D23" s="114">
        <f t="shared" si="10"/>
        <v>1041.3223140495868</v>
      </c>
      <c r="E23" s="115">
        <f t="shared" si="18"/>
        <v>6000</v>
      </c>
      <c r="F23">
        <v>15</v>
      </c>
      <c r="G23" s="119">
        <f t="shared" si="15"/>
        <v>6000</v>
      </c>
      <c r="I23" s="113"/>
      <c r="Q23" s="113"/>
    </row>
    <row r="24" spans="2:24" x14ac:dyDescent="0.3">
      <c r="B24">
        <v>16</v>
      </c>
      <c r="C24" s="114">
        <f t="shared" si="9"/>
        <v>4958.6776859504134</v>
      </c>
      <c r="D24" s="114">
        <f t="shared" si="10"/>
        <v>1041.3223140495868</v>
      </c>
      <c r="E24" s="115">
        <f t="shared" si="18"/>
        <v>6000</v>
      </c>
      <c r="F24">
        <v>16</v>
      </c>
      <c r="G24" s="119">
        <f t="shared" si="15"/>
        <v>6000</v>
      </c>
      <c r="I24" s="113"/>
      <c r="Q24" s="113"/>
    </row>
    <row r="25" spans="2:24" x14ac:dyDescent="0.3">
      <c r="B25">
        <v>17</v>
      </c>
      <c r="C25" s="114">
        <f t="shared" si="9"/>
        <v>4958.6776859504134</v>
      </c>
      <c r="D25" s="114">
        <f t="shared" si="10"/>
        <v>1041.3223140495868</v>
      </c>
      <c r="E25" s="115">
        <f t="shared" si="18"/>
        <v>6000</v>
      </c>
      <c r="F25">
        <v>17</v>
      </c>
      <c r="G25" s="119">
        <f t="shared" si="15"/>
        <v>6000</v>
      </c>
      <c r="I25" s="113"/>
      <c r="Q25" s="113"/>
    </row>
    <row r="26" spans="2:24" x14ac:dyDescent="0.3">
      <c r="B26">
        <v>18</v>
      </c>
      <c r="C26" s="114">
        <f t="shared" si="9"/>
        <v>4958.6776859504134</v>
      </c>
      <c r="D26" s="114">
        <f t="shared" si="10"/>
        <v>1041.3223140495868</v>
      </c>
      <c r="E26" s="115">
        <f t="shared" si="18"/>
        <v>6000</v>
      </c>
      <c r="F26">
        <v>18</v>
      </c>
      <c r="G26" s="119">
        <f t="shared" si="15"/>
        <v>6000</v>
      </c>
      <c r="I26" s="113"/>
      <c r="Q26" s="113"/>
    </row>
    <row r="27" spans="2:24" x14ac:dyDescent="0.3">
      <c r="B27" t="s">
        <v>2</v>
      </c>
      <c r="C27" s="116">
        <f>SUM(C15:C26)</f>
        <v>49586.776859504142</v>
      </c>
      <c r="D27" s="114">
        <f>SUM(D15:D26)</f>
        <v>10413.223140495866</v>
      </c>
      <c r="E27" s="117">
        <f>SUM(E15:E26)</f>
        <v>60000</v>
      </c>
      <c r="F27" t="s">
        <v>146</v>
      </c>
      <c r="G27" s="119">
        <f t="shared" si="15"/>
        <v>6000</v>
      </c>
      <c r="I27" s="113"/>
      <c r="Q27" s="113"/>
    </row>
    <row r="28" spans="2:24" x14ac:dyDescent="0.3">
      <c r="I28" s="113"/>
      <c r="Q28" s="113"/>
    </row>
    <row r="29" spans="2:24" x14ac:dyDescent="0.3">
      <c r="I29" s="117"/>
      <c r="Q29" s="113"/>
    </row>
    <row r="30" spans="2:24" x14ac:dyDescent="0.3">
      <c r="I30" s="113"/>
      <c r="Q30" s="113"/>
    </row>
    <row r="31" spans="2:24" x14ac:dyDescent="0.3">
      <c r="C31" s="177" t="s">
        <v>92</v>
      </c>
      <c r="D31" s="177"/>
      <c r="E31" s="178"/>
      <c r="F31" s="111" t="s">
        <v>93</v>
      </c>
      <c r="G31" s="110"/>
      <c r="H31" s="110"/>
      <c r="I31" s="113"/>
      <c r="K31" s="177" t="s">
        <v>92</v>
      </c>
      <c r="L31" s="177"/>
      <c r="M31" s="178"/>
      <c r="N31" s="111" t="s">
        <v>93</v>
      </c>
      <c r="O31" s="110"/>
      <c r="P31" s="110"/>
      <c r="Q31" s="113"/>
      <c r="S31" s="177" t="s">
        <v>92</v>
      </c>
      <c r="T31" s="177"/>
      <c r="U31" s="178"/>
      <c r="V31" s="111" t="s">
        <v>93</v>
      </c>
      <c r="W31" s="110"/>
      <c r="X31" s="110"/>
    </row>
    <row r="32" spans="2:24" x14ac:dyDescent="0.3">
      <c r="C32" s="112" t="s">
        <v>87</v>
      </c>
      <c r="D32" s="112" t="s">
        <v>88</v>
      </c>
      <c r="E32" s="113" t="s">
        <v>89</v>
      </c>
      <c r="F32" t="s">
        <v>104</v>
      </c>
      <c r="I32" s="113"/>
      <c r="K32" s="112" t="s">
        <v>87</v>
      </c>
      <c r="L32" s="112" t="s">
        <v>88</v>
      </c>
      <c r="M32" s="113" t="s">
        <v>89</v>
      </c>
      <c r="N32" t="s">
        <v>104</v>
      </c>
      <c r="Q32" s="113"/>
      <c r="S32" s="112" t="s">
        <v>87</v>
      </c>
      <c r="T32" s="112" t="s">
        <v>88</v>
      </c>
      <c r="U32" s="113" t="s">
        <v>89</v>
      </c>
      <c r="V32" t="s">
        <v>104</v>
      </c>
    </row>
    <row r="33" spans="2:23" x14ac:dyDescent="0.3">
      <c r="B33">
        <v>1</v>
      </c>
      <c r="C33" s="114">
        <f>SUM(Résultat!B15:B25)/18</f>
        <v>1662.0833333333333</v>
      </c>
      <c r="D33" s="114">
        <f>C33*0.21</f>
        <v>349.03749999999997</v>
      </c>
      <c r="E33" s="115">
        <f>C33*1.21</f>
        <v>2011.1208333333332</v>
      </c>
      <c r="F33">
        <v>1</v>
      </c>
      <c r="G33" s="118"/>
      <c r="I33" s="113"/>
      <c r="J33">
        <v>1</v>
      </c>
      <c r="K33" s="114">
        <f>SUM(Résultat!C15:C25)/12</f>
        <v>1629.5833333333333</v>
      </c>
      <c r="L33" s="114">
        <f>K33*0.21</f>
        <v>342.21249999999998</v>
      </c>
      <c r="M33" s="115">
        <f>K33*1.21</f>
        <v>1971.7958333333331</v>
      </c>
      <c r="N33">
        <v>1</v>
      </c>
      <c r="O33" s="118"/>
      <c r="Q33" s="113"/>
      <c r="R33">
        <v>1</v>
      </c>
      <c r="S33" s="114">
        <f>SUM(Résultat!D15:D25)/12</f>
        <v>1789.9888888888891</v>
      </c>
      <c r="T33" s="114">
        <f>S33*0.21</f>
        <v>375.89766666666668</v>
      </c>
      <c r="U33" s="115">
        <f>S33*1.21</f>
        <v>2165.8865555555558</v>
      </c>
      <c r="V33">
        <v>1</v>
      </c>
      <c r="W33" s="118"/>
    </row>
    <row r="34" spans="2:23" x14ac:dyDescent="0.3">
      <c r="B34">
        <v>2</v>
      </c>
      <c r="C34" s="114">
        <f>C33</f>
        <v>1662.0833333333333</v>
      </c>
      <c r="D34" s="114">
        <f t="shared" ref="D34:D50" si="19">C34*0.21</f>
        <v>349.03749999999997</v>
      </c>
      <c r="E34" s="115">
        <f t="shared" ref="E34:E50" si="20">C34*1.21</f>
        <v>2011.1208333333332</v>
      </c>
      <c r="F34">
        <v>2</v>
      </c>
      <c r="G34" s="119">
        <f>E33</f>
        <v>2011.1208333333332</v>
      </c>
      <c r="I34" s="113"/>
      <c r="J34">
        <v>2</v>
      </c>
      <c r="K34" s="114">
        <f>K33</f>
        <v>1629.5833333333333</v>
      </c>
      <c r="L34" s="114">
        <f t="shared" ref="L34:L44" si="21">K34*0.21</f>
        <v>342.21249999999998</v>
      </c>
      <c r="M34" s="115">
        <f t="shared" ref="M34:M44" si="22">K34*1.21</f>
        <v>1971.7958333333331</v>
      </c>
      <c r="N34">
        <v>2</v>
      </c>
      <c r="O34" s="119">
        <f>M33</f>
        <v>1971.7958333333331</v>
      </c>
      <c r="Q34" s="113"/>
      <c r="R34">
        <v>2</v>
      </c>
      <c r="S34" s="114">
        <f>S33</f>
        <v>1789.9888888888891</v>
      </c>
      <c r="T34" s="114">
        <f t="shared" ref="T34:T44" si="23">S34*0.21</f>
        <v>375.89766666666668</v>
      </c>
      <c r="U34" s="115">
        <f t="shared" ref="U34:U44" si="24">S34*1.21</f>
        <v>2165.8865555555558</v>
      </c>
      <c r="V34">
        <v>2</v>
      </c>
      <c r="W34" s="119">
        <f>U33</f>
        <v>2165.8865555555558</v>
      </c>
    </row>
    <row r="35" spans="2:23" x14ac:dyDescent="0.3">
      <c r="B35">
        <v>3</v>
      </c>
      <c r="C35" s="114">
        <f t="shared" ref="C35:C50" si="25">C34</f>
        <v>1662.0833333333333</v>
      </c>
      <c r="D35" s="114">
        <f t="shared" si="19"/>
        <v>349.03749999999997</v>
      </c>
      <c r="E35" s="115">
        <f t="shared" si="20"/>
        <v>2011.1208333333332</v>
      </c>
      <c r="F35">
        <v>3</v>
      </c>
      <c r="G35" s="119">
        <f t="shared" ref="G35:G51" si="26">E34</f>
        <v>2011.1208333333332</v>
      </c>
      <c r="I35" s="113"/>
      <c r="J35">
        <v>3</v>
      </c>
      <c r="K35" s="114">
        <f t="shared" ref="K35:K44" si="27">K34</f>
        <v>1629.5833333333333</v>
      </c>
      <c r="L35" s="114">
        <f t="shared" si="21"/>
        <v>342.21249999999998</v>
      </c>
      <c r="M35" s="115">
        <f t="shared" si="22"/>
        <v>1971.7958333333331</v>
      </c>
      <c r="N35">
        <v>3</v>
      </c>
      <c r="O35" s="119">
        <f t="shared" ref="O35:O44" si="28">M34</f>
        <v>1971.7958333333331</v>
      </c>
      <c r="Q35" s="113"/>
      <c r="R35">
        <v>3</v>
      </c>
      <c r="S35" s="114">
        <f t="shared" ref="S35:S44" si="29">S34</f>
        <v>1789.9888888888891</v>
      </c>
      <c r="T35" s="114">
        <f t="shared" si="23"/>
        <v>375.89766666666668</v>
      </c>
      <c r="U35" s="115">
        <f t="shared" si="24"/>
        <v>2165.8865555555558</v>
      </c>
      <c r="V35">
        <v>3</v>
      </c>
      <c r="W35" s="119">
        <f t="shared" ref="W35:W44" si="30">U34</f>
        <v>2165.8865555555558</v>
      </c>
    </row>
    <row r="36" spans="2:23" x14ac:dyDescent="0.3">
      <c r="B36">
        <v>4</v>
      </c>
      <c r="C36" s="114">
        <f t="shared" si="25"/>
        <v>1662.0833333333333</v>
      </c>
      <c r="D36" s="114">
        <f t="shared" si="19"/>
        <v>349.03749999999997</v>
      </c>
      <c r="E36" s="115">
        <f t="shared" si="20"/>
        <v>2011.1208333333332</v>
      </c>
      <c r="F36">
        <v>4</v>
      </c>
      <c r="G36" s="119">
        <f t="shared" si="26"/>
        <v>2011.1208333333332</v>
      </c>
      <c r="I36" s="113"/>
      <c r="J36">
        <v>4</v>
      </c>
      <c r="K36" s="114">
        <f t="shared" si="27"/>
        <v>1629.5833333333333</v>
      </c>
      <c r="L36" s="114">
        <f t="shared" si="21"/>
        <v>342.21249999999998</v>
      </c>
      <c r="M36" s="115">
        <f t="shared" si="22"/>
        <v>1971.7958333333331</v>
      </c>
      <c r="N36">
        <v>4</v>
      </c>
      <c r="O36" s="119">
        <f t="shared" si="28"/>
        <v>1971.7958333333331</v>
      </c>
      <c r="Q36" s="113"/>
      <c r="R36">
        <v>4</v>
      </c>
      <c r="S36" s="114">
        <f t="shared" si="29"/>
        <v>1789.9888888888891</v>
      </c>
      <c r="T36" s="114">
        <f t="shared" si="23"/>
        <v>375.89766666666668</v>
      </c>
      <c r="U36" s="115">
        <f t="shared" si="24"/>
        <v>2165.8865555555558</v>
      </c>
      <c r="V36">
        <v>4</v>
      </c>
      <c r="W36" s="119">
        <f t="shared" si="30"/>
        <v>2165.8865555555558</v>
      </c>
    </row>
    <row r="37" spans="2:23" x14ac:dyDescent="0.3">
      <c r="B37">
        <v>5</v>
      </c>
      <c r="C37" s="114">
        <f t="shared" si="25"/>
        <v>1662.0833333333333</v>
      </c>
      <c r="D37" s="114">
        <f t="shared" si="19"/>
        <v>349.03749999999997</v>
      </c>
      <c r="E37" s="115">
        <f t="shared" si="20"/>
        <v>2011.1208333333332</v>
      </c>
      <c r="F37">
        <v>5</v>
      </c>
      <c r="G37" s="119">
        <f t="shared" si="26"/>
        <v>2011.1208333333332</v>
      </c>
      <c r="I37" s="113"/>
      <c r="J37">
        <v>5</v>
      </c>
      <c r="K37" s="114">
        <f t="shared" si="27"/>
        <v>1629.5833333333333</v>
      </c>
      <c r="L37" s="114">
        <f t="shared" si="21"/>
        <v>342.21249999999998</v>
      </c>
      <c r="M37" s="115">
        <f t="shared" si="22"/>
        <v>1971.7958333333331</v>
      </c>
      <c r="N37">
        <v>5</v>
      </c>
      <c r="O37" s="119">
        <f t="shared" si="28"/>
        <v>1971.7958333333331</v>
      </c>
      <c r="Q37" s="113"/>
      <c r="R37">
        <v>5</v>
      </c>
      <c r="S37" s="114">
        <f t="shared" si="29"/>
        <v>1789.9888888888891</v>
      </c>
      <c r="T37" s="114">
        <f t="shared" si="23"/>
        <v>375.89766666666668</v>
      </c>
      <c r="U37" s="115">
        <f t="shared" si="24"/>
        <v>2165.8865555555558</v>
      </c>
      <c r="V37">
        <v>5</v>
      </c>
      <c r="W37" s="119">
        <f t="shared" si="30"/>
        <v>2165.8865555555558</v>
      </c>
    </row>
    <row r="38" spans="2:23" x14ac:dyDescent="0.3">
      <c r="B38">
        <v>6</v>
      </c>
      <c r="C38" s="114">
        <f t="shared" si="25"/>
        <v>1662.0833333333333</v>
      </c>
      <c r="D38" s="114">
        <f t="shared" si="19"/>
        <v>349.03749999999997</v>
      </c>
      <c r="E38" s="115">
        <f t="shared" si="20"/>
        <v>2011.1208333333332</v>
      </c>
      <c r="F38">
        <v>6</v>
      </c>
      <c r="G38" s="119">
        <f t="shared" si="26"/>
        <v>2011.1208333333332</v>
      </c>
      <c r="I38" s="113"/>
      <c r="J38">
        <v>6</v>
      </c>
      <c r="K38" s="114">
        <f t="shared" si="27"/>
        <v>1629.5833333333333</v>
      </c>
      <c r="L38" s="114">
        <f t="shared" si="21"/>
        <v>342.21249999999998</v>
      </c>
      <c r="M38" s="115">
        <f t="shared" si="22"/>
        <v>1971.7958333333331</v>
      </c>
      <c r="N38">
        <v>6</v>
      </c>
      <c r="O38" s="119">
        <f t="shared" si="28"/>
        <v>1971.7958333333331</v>
      </c>
      <c r="Q38" s="113"/>
      <c r="R38">
        <v>6</v>
      </c>
      <c r="S38" s="114">
        <f t="shared" si="29"/>
        <v>1789.9888888888891</v>
      </c>
      <c r="T38" s="114">
        <f t="shared" si="23"/>
        <v>375.89766666666668</v>
      </c>
      <c r="U38" s="115">
        <f t="shared" si="24"/>
        <v>2165.8865555555558</v>
      </c>
      <c r="V38">
        <v>6</v>
      </c>
      <c r="W38" s="119">
        <f t="shared" si="30"/>
        <v>2165.8865555555558</v>
      </c>
    </row>
    <row r="39" spans="2:23" x14ac:dyDescent="0.3">
      <c r="B39">
        <v>7</v>
      </c>
      <c r="C39" s="114">
        <f t="shared" si="25"/>
        <v>1662.0833333333333</v>
      </c>
      <c r="D39" s="114">
        <f t="shared" si="19"/>
        <v>349.03749999999997</v>
      </c>
      <c r="E39" s="115">
        <f t="shared" si="20"/>
        <v>2011.1208333333332</v>
      </c>
      <c r="F39">
        <v>7</v>
      </c>
      <c r="G39" s="119">
        <f t="shared" si="26"/>
        <v>2011.1208333333332</v>
      </c>
      <c r="I39" s="113"/>
      <c r="J39">
        <v>7</v>
      </c>
      <c r="K39" s="114">
        <f t="shared" si="27"/>
        <v>1629.5833333333333</v>
      </c>
      <c r="L39" s="114">
        <f t="shared" si="21"/>
        <v>342.21249999999998</v>
      </c>
      <c r="M39" s="115">
        <f t="shared" si="22"/>
        <v>1971.7958333333331</v>
      </c>
      <c r="N39">
        <v>7</v>
      </c>
      <c r="O39" s="119">
        <f t="shared" si="28"/>
        <v>1971.7958333333331</v>
      </c>
      <c r="Q39" s="113"/>
      <c r="R39">
        <v>7</v>
      </c>
      <c r="S39" s="114">
        <f t="shared" si="29"/>
        <v>1789.9888888888891</v>
      </c>
      <c r="T39" s="114">
        <f t="shared" si="23"/>
        <v>375.89766666666668</v>
      </c>
      <c r="U39" s="115">
        <f t="shared" si="24"/>
        <v>2165.8865555555558</v>
      </c>
      <c r="V39">
        <v>7</v>
      </c>
      <c r="W39" s="119">
        <f t="shared" si="30"/>
        <v>2165.8865555555558</v>
      </c>
    </row>
    <row r="40" spans="2:23" x14ac:dyDescent="0.3">
      <c r="B40">
        <v>8</v>
      </c>
      <c r="C40" s="114">
        <f t="shared" si="25"/>
        <v>1662.0833333333333</v>
      </c>
      <c r="D40" s="114">
        <f t="shared" si="19"/>
        <v>349.03749999999997</v>
      </c>
      <c r="E40" s="115">
        <f t="shared" si="20"/>
        <v>2011.1208333333332</v>
      </c>
      <c r="F40">
        <v>8</v>
      </c>
      <c r="G40" s="119">
        <f t="shared" si="26"/>
        <v>2011.1208333333332</v>
      </c>
      <c r="I40" s="113"/>
      <c r="J40">
        <v>8</v>
      </c>
      <c r="K40" s="114">
        <f t="shared" si="27"/>
        <v>1629.5833333333333</v>
      </c>
      <c r="L40" s="114">
        <f t="shared" si="21"/>
        <v>342.21249999999998</v>
      </c>
      <c r="M40" s="115">
        <f t="shared" si="22"/>
        <v>1971.7958333333331</v>
      </c>
      <c r="N40">
        <v>8</v>
      </c>
      <c r="O40" s="119">
        <f t="shared" si="28"/>
        <v>1971.7958333333331</v>
      </c>
      <c r="Q40" s="113"/>
      <c r="R40">
        <v>8</v>
      </c>
      <c r="S40" s="114">
        <f t="shared" si="29"/>
        <v>1789.9888888888891</v>
      </c>
      <c r="T40" s="114">
        <f t="shared" si="23"/>
        <v>375.89766666666668</v>
      </c>
      <c r="U40" s="115">
        <f t="shared" si="24"/>
        <v>2165.8865555555558</v>
      </c>
      <c r="V40">
        <v>8</v>
      </c>
      <c r="W40" s="119">
        <f t="shared" si="30"/>
        <v>2165.8865555555558</v>
      </c>
    </row>
    <row r="41" spans="2:23" x14ac:dyDescent="0.3">
      <c r="B41">
        <v>9</v>
      </c>
      <c r="C41" s="114">
        <f t="shared" si="25"/>
        <v>1662.0833333333333</v>
      </c>
      <c r="D41" s="114">
        <f t="shared" si="19"/>
        <v>349.03749999999997</v>
      </c>
      <c r="E41" s="115">
        <f t="shared" si="20"/>
        <v>2011.1208333333332</v>
      </c>
      <c r="F41">
        <v>9</v>
      </c>
      <c r="G41" s="119">
        <f t="shared" si="26"/>
        <v>2011.1208333333332</v>
      </c>
      <c r="I41" s="113"/>
      <c r="J41">
        <v>9</v>
      </c>
      <c r="K41" s="114">
        <f t="shared" si="27"/>
        <v>1629.5833333333333</v>
      </c>
      <c r="L41" s="114">
        <f t="shared" si="21"/>
        <v>342.21249999999998</v>
      </c>
      <c r="M41" s="115">
        <f t="shared" si="22"/>
        <v>1971.7958333333331</v>
      </c>
      <c r="N41">
        <v>9</v>
      </c>
      <c r="O41" s="119">
        <f t="shared" si="28"/>
        <v>1971.7958333333331</v>
      </c>
      <c r="Q41" s="113"/>
      <c r="R41">
        <v>9</v>
      </c>
      <c r="S41" s="114">
        <f t="shared" si="29"/>
        <v>1789.9888888888891</v>
      </c>
      <c r="T41" s="114">
        <f t="shared" si="23"/>
        <v>375.89766666666668</v>
      </c>
      <c r="U41" s="115">
        <f t="shared" si="24"/>
        <v>2165.8865555555558</v>
      </c>
      <c r="V41">
        <v>9</v>
      </c>
      <c r="W41" s="119">
        <f t="shared" si="30"/>
        <v>2165.8865555555558</v>
      </c>
    </row>
    <row r="42" spans="2:23" x14ac:dyDescent="0.3">
      <c r="B42">
        <v>10</v>
      </c>
      <c r="C42" s="114">
        <f t="shared" si="25"/>
        <v>1662.0833333333333</v>
      </c>
      <c r="D42" s="114">
        <f t="shared" si="19"/>
        <v>349.03749999999997</v>
      </c>
      <c r="E42" s="115">
        <f t="shared" si="20"/>
        <v>2011.1208333333332</v>
      </c>
      <c r="F42">
        <v>10</v>
      </c>
      <c r="G42" s="119">
        <f t="shared" si="26"/>
        <v>2011.1208333333332</v>
      </c>
      <c r="I42" s="113"/>
      <c r="J42">
        <v>10</v>
      </c>
      <c r="K42" s="114">
        <f t="shared" si="27"/>
        <v>1629.5833333333333</v>
      </c>
      <c r="L42" s="114">
        <f t="shared" si="21"/>
        <v>342.21249999999998</v>
      </c>
      <c r="M42" s="115">
        <f t="shared" si="22"/>
        <v>1971.7958333333331</v>
      </c>
      <c r="N42">
        <v>10</v>
      </c>
      <c r="O42" s="119">
        <f t="shared" si="28"/>
        <v>1971.7958333333331</v>
      </c>
      <c r="Q42" s="113"/>
      <c r="R42">
        <v>10</v>
      </c>
      <c r="S42" s="114">
        <f t="shared" si="29"/>
        <v>1789.9888888888891</v>
      </c>
      <c r="T42" s="114">
        <f t="shared" si="23"/>
        <v>375.89766666666668</v>
      </c>
      <c r="U42" s="115">
        <f t="shared" si="24"/>
        <v>2165.8865555555558</v>
      </c>
      <c r="V42">
        <v>10</v>
      </c>
      <c r="W42" s="119">
        <f t="shared" si="30"/>
        <v>2165.8865555555558</v>
      </c>
    </row>
    <row r="43" spans="2:23" x14ac:dyDescent="0.3">
      <c r="B43">
        <v>11</v>
      </c>
      <c r="C43" s="114">
        <f t="shared" si="25"/>
        <v>1662.0833333333333</v>
      </c>
      <c r="D43" s="114">
        <f t="shared" si="19"/>
        <v>349.03749999999997</v>
      </c>
      <c r="E43" s="115">
        <f t="shared" si="20"/>
        <v>2011.1208333333332</v>
      </c>
      <c r="F43">
        <v>11</v>
      </c>
      <c r="G43" s="119">
        <f t="shared" si="26"/>
        <v>2011.1208333333332</v>
      </c>
      <c r="I43" s="113"/>
      <c r="J43">
        <v>11</v>
      </c>
      <c r="K43" s="114">
        <f t="shared" si="27"/>
        <v>1629.5833333333333</v>
      </c>
      <c r="L43" s="114">
        <f t="shared" si="21"/>
        <v>342.21249999999998</v>
      </c>
      <c r="M43" s="115">
        <f t="shared" si="22"/>
        <v>1971.7958333333331</v>
      </c>
      <c r="N43">
        <v>11</v>
      </c>
      <c r="O43" s="119">
        <f t="shared" si="28"/>
        <v>1971.7958333333331</v>
      </c>
      <c r="Q43" s="113"/>
      <c r="R43">
        <v>11</v>
      </c>
      <c r="S43" s="114">
        <f t="shared" si="29"/>
        <v>1789.9888888888891</v>
      </c>
      <c r="T43" s="114">
        <f t="shared" si="23"/>
        <v>375.89766666666668</v>
      </c>
      <c r="U43" s="115">
        <f t="shared" si="24"/>
        <v>2165.8865555555558</v>
      </c>
      <c r="V43">
        <v>11</v>
      </c>
      <c r="W43" s="119">
        <f t="shared" si="30"/>
        <v>2165.8865555555558</v>
      </c>
    </row>
    <row r="44" spans="2:23" x14ac:dyDescent="0.3">
      <c r="B44">
        <v>12</v>
      </c>
      <c r="C44" s="114">
        <f t="shared" si="25"/>
        <v>1662.0833333333333</v>
      </c>
      <c r="D44" s="114">
        <f t="shared" si="19"/>
        <v>349.03749999999997</v>
      </c>
      <c r="E44" s="115">
        <f t="shared" si="20"/>
        <v>2011.1208333333332</v>
      </c>
      <c r="F44">
        <v>12</v>
      </c>
      <c r="G44" s="119">
        <f t="shared" si="26"/>
        <v>2011.1208333333332</v>
      </c>
      <c r="I44" s="113"/>
      <c r="J44">
        <v>12</v>
      </c>
      <c r="K44" s="114">
        <f t="shared" si="27"/>
        <v>1629.5833333333333</v>
      </c>
      <c r="L44" s="114">
        <f t="shared" si="21"/>
        <v>342.21249999999998</v>
      </c>
      <c r="M44" s="115">
        <f t="shared" si="22"/>
        <v>1971.7958333333331</v>
      </c>
      <c r="N44">
        <v>12</v>
      </c>
      <c r="O44" s="119">
        <f t="shared" si="28"/>
        <v>1971.7958333333331</v>
      </c>
      <c r="Q44" s="113"/>
      <c r="R44">
        <v>12</v>
      </c>
      <c r="S44" s="114">
        <f t="shared" si="29"/>
        <v>1789.9888888888891</v>
      </c>
      <c r="T44" s="114">
        <f t="shared" si="23"/>
        <v>375.89766666666668</v>
      </c>
      <c r="U44" s="115">
        <f t="shared" si="24"/>
        <v>2165.8865555555558</v>
      </c>
      <c r="V44">
        <v>12</v>
      </c>
      <c r="W44" s="119">
        <f t="shared" si="30"/>
        <v>2165.8865555555558</v>
      </c>
    </row>
    <row r="45" spans="2:23" x14ac:dyDescent="0.3">
      <c r="B45">
        <v>13</v>
      </c>
      <c r="C45" s="114">
        <f t="shared" si="25"/>
        <v>1662.0833333333333</v>
      </c>
      <c r="D45" s="114">
        <f t="shared" si="19"/>
        <v>349.03749999999997</v>
      </c>
      <c r="E45" s="115">
        <f t="shared" si="20"/>
        <v>2011.1208333333332</v>
      </c>
      <c r="F45">
        <v>13</v>
      </c>
      <c r="G45" s="119">
        <f t="shared" si="26"/>
        <v>2011.1208333333332</v>
      </c>
      <c r="I45" s="113"/>
      <c r="J45" t="s">
        <v>2</v>
      </c>
      <c r="K45" s="114">
        <f>SUM(K33:K44)</f>
        <v>19555</v>
      </c>
      <c r="L45" s="114">
        <f>SUM(L33:L44)</f>
        <v>4106.55</v>
      </c>
      <c r="M45" s="115">
        <f>SUM(M33:M44)</f>
        <v>23661.55</v>
      </c>
      <c r="N45" t="s">
        <v>147</v>
      </c>
      <c r="O45" s="119">
        <f>M44</f>
        <v>1971.7958333333331</v>
      </c>
      <c r="Q45" s="113"/>
      <c r="R45" t="s">
        <v>2</v>
      </c>
      <c r="S45" s="114">
        <f>SUM(S33:S44)</f>
        <v>21479.866666666669</v>
      </c>
      <c r="T45" s="114">
        <f>SUM(T33:T44)</f>
        <v>4510.7719999999999</v>
      </c>
      <c r="U45" s="115">
        <f>SUM(U33:U44)</f>
        <v>25990.638666666677</v>
      </c>
      <c r="V45" t="s">
        <v>147</v>
      </c>
      <c r="W45" s="119">
        <f>U44</f>
        <v>2165.8865555555558</v>
      </c>
    </row>
    <row r="46" spans="2:23" x14ac:dyDescent="0.3">
      <c r="B46">
        <v>14</v>
      </c>
      <c r="C46" s="114">
        <f t="shared" si="25"/>
        <v>1662.0833333333333</v>
      </c>
      <c r="D46" s="114">
        <f t="shared" si="19"/>
        <v>349.03749999999997</v>
      </c>
      <c r="E46" s="115">
        <f t="shared" si="20"/>
        <v>2011.1208333333332</v>
      </c>
      <c r="F46">
        <v>14</v>
      </c>
      <c r="G46" s="119">
        <f t="shared" si="26"/>
        <v>2011.1208333333332</v>
      </c>
      <c r="I46" s="113"/>
      <c r="Q46" s="113"/>
    </row>
    <row r="47" spans="2:23" x14ac:dyDescent="0.3">
      <c r="B47">
        <v>15</v>
      </c>
      <c r="C47" s="114">
        <f t="shared" si="25"/>
        <v>1662.0833333333333</v>
      </c>
      <c r="D47" s="114">
        <f t="shared" si="19"/>
        <v>349.03749999999997</v>
      </c>
      <c r="E47" s="115">
        <f t="shared" si="20"/>
        <v>2011.1208333333332</v>
      </c>
      <c r="F47">
        <v>15</v>
      </c>
      <c r="G47" s="119">
        <f t="shared" si="26"/>
        <v>2011.1208333333332</v>
      </c>
      <c r="I47" s="113"/>
      <c r="Q47" s="113"/>
    </row>
    <row r="48" spans="2:23" x14ac:dyDescent="0.3">
      <c r="B48">
        <v>16</v>
      </c>
      <c r="C48" s="114">
        <f t="shared" si="25"/>
        <v>1662.0833333333333</v>
      </c>
      <c r="D48" s="114">
        <f t="shared" si="19"/>
        <v>349.03749999999997</v>
      </c>
      <c r="E48" s="115">
        <f t="shared" si="20"/>
        <v>2011.1208333333332</v>
      </c>
      <c r="F48">
        <v>16</v>
      </c>
      <c r="G48" s="119">
        <f t="shared" si="26"/>
        <v>2011.1208333333332</v>
      </c>
      <c r="I48" s="113"/>
      <c r="Q48" s="113"/>
    </row>
    <row r="49" spans="2:24" x14ac:dyDescent="0.3">
      <c r="B49">
        <v>17</v>
      </c>
      <c r="C49" s="114">
        <f t="shared" si="25"/>
        <v>1662.0833333333333</v>
      </c>
      <c r="D49" s="114">
        <f t="shared" si="19"/>
        <v>349.03749999999997</v>
      </c>
      <c r="E49" s="115">
        <f t="shared" si="20"/>
        <v>2011.1208333333332</v>
      </c>
      <c r="F49">
        <v>17</v>
      </c>
      <c r="G49" s="119">
        <f t="shared" si="26"/>
        <v>2011.1208333333332</v>
      </c>
      <c r="I49" s="113"/>
      <c r="Q49" s="113"/>
    </row>
    <row r="50" spans="2:24" x14ac:dyDescent="0.3">
      <c r="B50">
        <v>18</v>
      </c>
      <c r="C50" s="114">
        <f t="shared" si="25"/>
        <v>1662.0833333333333</v>
      </c>
      <c r="D50" s="114">
        <f t="shared" si="19"/>
        <v>349.03749999999997</v>
      </c>
      <c r="E50" s="115">
        <f t="shared" si="20"/>
        <v>2011.1208333333332</v>
      </c>
      <c r="F50">
        <v>18</v>
      </c>
      <c r="G50" s="119">
        <f t="shared" si="26"/>
        <v>2011.1208333333332</v>
      </c>
      <c r="I50" s="113"/>
      <c r="Q50" s="113"/>
    </row>
    <row r="51" spans="2:24" x14ac:dyDescent="0.3">
      <c r="B51" t="s">
        <v>2</v>
      </c>
      <c r="C51" s="114">
        <f>SUM(C33:C50)</f>
        <v>29917.499999999993</v>
      </c>
      <c r="D51" s="114">
        <f t="shared" ref="D51:E51" si="31">SUM(D33:D50)</f>
        <v>6282.675000000002</v>
      </c>
      <c r="E51" s="115">
        <f t="shared" si="31"/>
        <v>36200.175000000003</v>
      </c>
      <c r="F51" t="s">
        <v>147</v>
      </c>
      <c r="G51" s="119">
        <f t="shared" si="26"/>
        <v>2011.1208333333332</v>
      </c>
      <c r="I51" s="113"/>
      <c r="Q51" s="113"/>
    </row>
    <row r="52" spans="2:24" x14ac:dyDescent="0.3">
      <c r="C52" s="114"/>
      <c r="D52" s="114"/>
      <c r="E52" s="114"/>
      <c r="I52" s="113"/>
      <c r="K52" s="114"/>
      <c r="L52" s="114"/>
      <c r="M52" s="114"/>
      <c r="Q52" s="113"/>
      <c r="S52" s="114"/>
      <c r="T52" s="114"/>
      <c r="U52" s="114"/>
    </row>
    <row r="53" spans="2:24" x14ac:dyDescent="0.3">
      <c r="I53" s="113"/>
      <c r="Q53" s="113"/>
    </row>
    <row r="54" spans="2:24" x14ac:dyDescent="0.3">
      <c r="I54" s="113"/>
      <c r="Q54" s="113"/>
    </row>
    <row r="55" spans="2:24" x14ac:dyDescent="0.3">
      <c r="I55" s="113"/>
      <c r="Q55" s="113"/>
    </row>
    <row r="56" spans="2:24" x14ac:dyDescent="0.3">
      <c r="C56" s="177" t="s">
        <v>105</v>
      </c>
      <c r="D56" s="177"/>
      <c r="E56" s="178"/>
      <c r="F56" s="111" t="s">
        <v>100</v>
      </c>
      <c r="G56" s="110"/>
      <c r="H56" s="110"/>
      <c r="I56" s="113"/>
      <c r="K56" s="177" t="s">
        <v>105</v>
      </c>
      <c r="L56" s="177"/>
      <c r="M56" s="178"/>
      <c r="N56" s="111" t="s">
        <v>100</v>
      </c>
      <c r="O56" s="110"/>
      <c r="P56" s="110"/>
      <c r="Q56" s="113"/>
      <c r="S56" s="177" t="s">
        <v>105</v>
      </c>
      <c r="T56" s="177"/>
      <c r="U56" s="178"/>
      <c r="V56" s="111" t="s">
        <v>100</v>
      </c>
      <c r="W56" s="110"/>
      <c r="X56" s="110"/>
    </row>
    <row r="57" spans="2:24" x14ac:dyDescent="0.3">
      <c r="C57" s="112" t="s">
        <v>101</v>
      </c>
      <c r="D57" s="112" t="s">
        <v>102</v>
      </c>
      <c r="E57" s="113" t="s">
        <v>103</v>
      </c>
      <c r="F57" t="s">
        <v>104</v>
      </c>
      <c r="G57" t="s">
        <v>103</v>
      </c>
      <c r="H57" t="s">
        <v>106</v>
      </c>
      <c r="I57" s="113"/>
      <c r="K57" s="112" t="s">
        <v>101</v>
      </c>
      <c r="L57" s="112" t="s">
        <v>102</v>
      </c>
      <c r="M57" s="113" t="s">
        <v>103</v>
      </c>
      <c r="N57" t="s">
        <v>104</v>
      </c>
      <c r="O57" t="s">
        <v>103</v>
      </c>
      <c r="P57" t="s">
        <v>106</v>
      </c>
      <c r="Q57" s="113"/>
      <c r="S57" s="112" t="s">
        <v>101</v>
      </c>
      <c r="T57" s="112" t="s">
        <v>102</v>
      </c>
      <c r="U57" s="113" t="s">
        <v>103</v>
      </c>
      <c r="V57" t="s">
        <v>104</v>
      </c>
      <c r="W57" t="s">
        <v>103</v>
      </c>
      <c r="X57" t="s">
        <v>106</v>
      </c>
    </row>
    <row r="58" spans="2:24" x14ac:dyDescent="0.3">
      <c r="B58">
        <v>1</v>
      </c>
      <c r="C58" s="112">
        <f>D58+E58</f>
        <v>500</v>
      </c>
      <c r="D58" s="112"/>
      <c r="E58" s="113">
        <f>Résultat!B28/18</f>
        <v>500</v>
      </c>
      <c r="F58">
        <v>1</v>
      </c>
      <c r="G58" s="118">
        <f>E58</f>
        <v>500</v>
      </c>
      <c r="H58" s="118"/>
      <c r="I58" s="113"/>
      <c r="J58">
        <v>1</v>
      </c>
      <c r="K58" s="135">
        <f>L58+M58</f>
        <v>1166.6666666666667</v>
      </c>
      <c r="L58" s="112"/>
      <c r="M58" s="134">
        <f>Résultat!C28/12</f>
        <v>1166.6666666666667</v>
      </c>
      <c r="N58">
        <v>1</v>
      </c>
      <c r="O58" s="136">
        <f>M58</f>
        <v>1166.6666666666667</v>
      </c>
      <c r="P58" s="118"/>
      <c r="Q58" s="113"/>
      <c r="R58">
        <v>1</v>
      </c>
      <c r="S58" s="135">
        <f>T58+U58</f>
        <v>1166.6666666666667</v>
      </c>
      <c r="T58" s="112"/>
      <c r="U58" s="134">
        <f>14000/12</f>
        <v>1166.6666666666667</v>
      </c>
      <c r="V58">
        <v>1</v>
      </c>
      <c r="W58" s="136">
        <f>U58</f>
        <v>1166.6666666666667</v>
      </c>
      <c r="X58" s="118"/>
    </row>
    <row r="59" spans="2:24" x14ac:dyDescent="0.3">
      <c r="B59">
        <v>2</v>
      </c>
      <c r="C59" s="112">
        <f t="shared" ref="C59:C75" si="32">D59+E59</f>
        <v>500</v>
      </c>
      <c r="D59" s="112"/>
      <c r="E59" s="113">
        <f>E58</f>
        <v>500</v>
      </c>
      <c r="F59">
        <v>2</v>
      </c>
      <c r="G59" s="118">
        <f t="shared" ref="G59:G75" si="33">E59</f>
        <v>500</v>
      </c>
      <c r="H59" s="118"/>
      <c r="I59" s="113"/>
      <c r="J59">
        <v>2</v>
      </c>
      <c r="K59" s="135">
        <f t="shared" ref="K59:K69" si="34">L59+M59</f>
        <v>1166.6666666666667</v>
      </c>
      <c r="L59" s="112"/>
      <c r="M59" s="134">
        <f>M58</f>
        <v>1166.6666666666667</v>
      </c>
      <c r="N59">
        <v>2</v>
      </c>
      <c r="O59" s="136">
        <f t="shared" ref="O59:O69" si="35">M59</f>
        <v>1166.6666666666667</v>
      </c>
      <c r="P59" s="118"/>
      <c r="Q59" s="113"/>
      <c r="R59">
        <v>2</v>
      </c>
      <c r="S59" s="135">
        <f t="shared" ref="S59:S69" si="36">T59+U59</f>
        <v>1166.6666666666667</v>
      </c>
      <c r="T59" s="112"/>
      <c r="U59" s="134">
        <f>U58</f>
        <v>1166.6666666666667</v>
      </c>
      <c r="V59">
        <v>2</v>
      </c>
      <c r="W59" s="136">
        <f t="shared" ref="W59:W69" si="37">U59</f>
        <v>1166.6666666666667</v>
      </c>
      <c r="X59" s="118"/>
    </row>
    <row r="60" spans="2:24" x14ac:dyDescent="0.3">
      <c r="B60">
        <v>3</v>
      </c>
      <c r="C60" s="112">
        <f t="shared" si="32"/>
        <v>1245.51</v>
      </c>
      <c r="D60" s="112">
        <f>745.51</f>
        <v>745.51</v>
      </c>
      <c r="E60" s="113">
        <f t="shared" ref="E60:E75" si="38">E59</f>
        <v>500</v>
      </c>
      <c r="F60">
        <v>3</v>
      </c>
      <c r="G60" s="118">
        <f t="shared" si="33"/>
        <v>500</v>
      </c>
      <c r="H60" s="118">
        <f>D60</f>
        <v>745.51</v>
      </c>
      <c r="I60" s="113"/>
      <c r="J60">
        <v>3</v>
      </c>
      <c r="K60" s="135">
        <f t="shared" si="34"/>
        <v>1912.1766666666667</v>
      </c>
      <c r="L60" s="112">
        <f>745.51</f>
        <v>745.51</v>
      </c>
      <c r="M60" s="134">
        <f t="shared" ref="M60:M69" si="39">M59</f>
        <v>1166.6666666666667</v>
      </c>
      <c r="N60">
        <v>3</v>
      </c>
      <c r="O60" s="136">
        <f t="shared" si="35"/>
        <v>1166.6666666666667</v>
      </c>
      <c r="P60" s="118">
        <f>L60</f>
        <v>745.51</v>
      </c>
      <c r="Q60" s="113"/>
      <c r="R60">
        <v>3</v>
      </c>
      <c r="S60" s="135">
        <f t="shared" si="36"/>
        <v>1912.1766666666667</v>
      </c>
      <c r="T60" s="112">
        <f>745.51</f>
        <v>745.51</v>
      </c>
      <c r="U60" s="134">
        <f t="shared" ref="U60:U69" si="40">U59</f>
        <v>1166.6666666666667</v>
      </c>
      <c r="V60">
        <v>3</v>
      </c>
      <c r="W60" s="136">
        <f t="shared" si="37"/>
        <v>1166.6666666666667</v>
      </c>
      <c r="X60" s="118">
        <f>T60</f>
        <v>745.51</v>
      </c>
    </row>
    <row r="61" spans="2:24" x14ac:dyDescent="0.3">
      <c r="B61">
        <v>4</v>
      </c>
      <c r="C61" s="112">
        <f t="shared" si="32"/>
        <v>500</v>
      </c>
      <c r="D61" s="112"/>
      <c r="E61" s="113">
        <f t="shared" si="38"/>
        <v>500</v>
      </c>
      <c r="F61">
        <v>4</v>
      </c>
      <c r="G61" s="118">
        <f t="shared" si="33"/>
        <v>500</v>
      </c>
      <c r="H61" s="118"/>
      <c r="I61" s="113"/>
      <c r="J61">
        <v>4</v>
      </c>
      <c r="K61" s="135">
        <f t="shared" si="34"/>
        <v>1166.6666666666667</v>
      </c>
      <c r="L61" s="112"/>
      <c r="M61" s="134">
        <f t="shared" si="39"/>
        <v>1166.6666666666667</v>
      </c>
      <c r="N61">
        <v>4</v>
      </c>
      <c r="O61" s="136">
        <f t="shared" si="35"/>
        <v>1166.6666666666667</v>
      </c>
      <c r="P61" s="118"/>
      <c r="Q61" s="113"/>
      <c r="R61">
        <v>4</v>
      </c>
      <c r="S61" s="135">
        <f t="shared" si="36"/>
        <v>1166.6666666666667</v>
      </c>
      <c r="T61" s="112"/>
      <c r="U61" s="134">
        <f t="shared" si="40"/>
        <v>1166.6666666666667</v>
      </c>
      <c r="V61">
        <v>4</v>
      </c>
      <c r="W61" s="136">
        <f t="shared" si="37"/>
        <v>1166.6666666666667</v>
      </c>
      <c r="X61" s="118"/>
    </row>
    <row r="62" spans="2:24" x14ac:dyDescent="0.3">
      <c r="B62">
        <v>5</v>
      </c>
      <c r="C62" s="112">
        <f t="shared" si="32"/>
        <v>500</v>
      </c>
      <c r="D62" s="112"/>
      <c r="E62" s="113">
        <f t="shared" si="38"/>
        <v>500</v>
      </c>
      <c r="F62">
        <v>5</v>
      </c>
      <c r="G62" s="118">
        <f t="shared" si="33"/>
        <v>500</v>
      </c>
      <c r="H62" s="118"/>
      <c r="I62" s="113"/>
      <c r="J62">
        <v>5</v>
      </c>
      <c r="K62" s="135">
        <f t="shared" si="34"/>
        <v>1166.6666666666667</v>
      </c>
      <c r="L62" s="112"/>
      <c r="M62" s="134">
        <f t="shared" si="39"/>
        <v>1166.6666666666667</v>
      </c>
      <c r="N62">
        <v>5</v>
      </c>
      <c r="O62" s="136">
        <f t="shared" si="35"/>
        <v>1166.6666666666667</v>
      </c>
      <c r="P62" s="118"/>
      <c r="Q62" s="113"/>
      <c r="R62">
        <v>5</v>
      </c>
      <c r="S62" s="135">
        <f t="shared" si="36"/>
        <v>1166.6666666666667</v>
      </c>
      <c r="T62" s="112"/>
      <c r="U62" s="134">
        <f t="shared" si="40"/>
        <v>1166.6666666666667</v>
      </c>
      <c r="V62">
        <v>5</v>
      </c>
      <c r="W62" s="136">
        <f t="shared" si="37"/>
        <v>1166.6666666666667</v>
      </c>
      <c r="X62" s="118"/>
    </row>
    <row r="63" spans="2:24" x14ac:dyDescent="0.3">
      <c r="B63">
        <v>6</v>
      </c>
      <c r="C63" s="112">
        <f t="shared" si="32"/>
        <v>1245.51</v>
      </c>
      <c r="D63" s="112">
        <f>D60</f>
        <v>745.51</v>
      </c>
      <c r="E63" s="113">
        <f t="shared" si="38"/>
        <v>500</v>
      </c>
      <c r="F63">
        <v>6</v>
      </c>
      <c r="G63" s="118">
        <f t="shared" si="33"/>
        <v>500</v>
      </c>
      <c r="H63" s="118">
        <f>D63</f>
        <v>745.51</v>
      </c>
      <c r="I63" s="113"/>
      <c r="J63">
        <v>6</v>
      </c>
      <c r="K63" s="135">
        <f t="shared" si="34"/>
        <v>1912.1766666666667</v>
      </c>
      <c r="L63" s="112">
        <f>L60</f>
        <v>745.51</v>
      </c>
      <c r="M63" s="134">
        <f t="shared" si="39"/>
        <v>1166.6666666666667</v>
      </c>
      <c r="N63">
        <v>6</v>
      </c>
      <c r="O63" s="136">
        <f t="shared" si="35"/>
        <v>1166.6666666666667</v>
      </c>
      <c r="P63" s="118">
        <f>L63</f>
        <v>745.51</v>
      </c>
      <c r="Q63" s="113"/>
      <c r="R63">
        <v>6</v>
      </c>
      <c r="S63" s="135">
        <f t="shared" si="36"/>
        <v>1912.1766666666667</v>
      </c>
      <c r="T63" s="112">
        <f>T60</f>
        <v>745.51</v>
      </c>
      <c r="U63" s="134">
        <f t="shared" si="40"/>
        <v>1166.6666666666667</v>
      </c>
      <c r="V63">
        <v>6</v>
      </c>
      <c r="W63" s="136">
        <f t="shared" si="37"/>
        <v>1166.6666666666667</v>
      </c>
      <c r="X63" s="118">
        <f>T63</f>
        <v>745.51</v>
      </c>
    </row>
    <row r="64" spans="2:24" x14ac:dyDescent="0.3">
      <c r="B64">
        <v>7</v>
      </c>
      <c r="C64" s="112">
        <f t="shared" si="32"/>
        <v>500</v>
      </c>
      <c r="D64" s="112"/>
      <c r="E64" s="113">
        <f t="shared" si="38"/>
        <v>500</v>
      </c>
      <c r="F64">
        <v>7</v>
      </c>
      <c r="G64" s="118">
        <f t="shared" si="33"/>
        <v>500</v>
      </c>
      <c r="H64" s="118"/>
      <c r="I64" s="113"/>
      <c r="J64">
        <v>7</v>
      </c>
      <c r="K64" s="135">
        <f t="shared" si="34"/>
        <v>1166.6666666666667</v>
      </c>
      <c r="L64" s="112"/>
      <c r="M64" s="134">
        <f t="shared" si="39"/>
        <v>1166.6666666666667</v>
      </c>
      <c r="N64">
        <v>7</v>
      </c>
      <c r="O64" s="136">
        <f t="shared" si="35"/>
        <v>1166.6666666666667</v>
      </c>
      <c r="P64" s="118"/>
      <c r="Q64" s="113"/>
      <c r="R64">
        <v>7</v>
      </c>
      <c r="S64" s="135">
        <f t="shared" si="36"/>
        <v>1166.6666666666667</v>
      </c>
      <c r="T64" s="112"/>
      <c r="U64" s="134">
        <f t="shared" si="40"/>
        <v>1166.6666666666667</v>
      </c>
      <c r="V64">
        <v>7</v>
      </c>
      <c r="W64" s="136">
        <f t="shared" si="37"/>
        <v>1166.6666666666667</v>
      </c>
      <c r="X64" s="118"/>
    </row>
    <row r="65" spans="2:24" x14ac:dyDescent="0.3">
      <c r="B65">
        <v>8</v>
      </c>
      <c r="C65" s="112">
        <f t="shared" si="32"/>
        <v>500</v>
      </c>
      <c r="D65" s="112"/>
      <c r="E65" s="113">
        <f t="shared" si="38"/>
        <v>500</v>
      </c>
      <c r="F65">
        <v>8</v>
      </c>
      <c r="G65" s="118">
        <f t="shared" si="33"/>
        <v>500</v>
      </c>
      <c r="H65" s="118"/>
      <c r="I65" s="113"/>
      <c r="J65">
        <v>8</v>
      </c>
      <c r="K65" s="135">
        <f t="shared" si="34"/>
        <v>1166.6666666666667</v>
      </c>
      <c r="L65" s="112"/>
      <c r="M65" s="134">
        <f t="shared" si="39"/>
        <v>1166.6666666666667</v>
      </c>
      <c r="N65">
        <v>8</v>
      </c>
      <c r="O65" s="136">
        <f t="shared" si="35"/>
        <v>1166.6666666666667</v>
      </c>
      <c r="P65" s="118"/>
      <c r="Q65" s="113"/>
      <c r="R65">
        <v>8</v>
      </c>
      <c r="S65" s="135">
        <f t="shared" si="36"/>
        <v>1166.6666666666667</v>
      </c>
      <c r="T65" s="112"/>
      <c r="U65" s="134">
        <f t="shared" si="40"/>
        <v>1166.6666666666667</v>
      </c>
      <c r="V65">
        <v>8</v>
      </c>
      <c r="W65" s="136">
        <f t="shared" si="37"/>
        <v>1166.6666666666667</v>
      </c>
      <c r="X65" s="118"/>
    </row>
    <row r="66" spans="2:24" x14ac:dyDescent="0.3">
      <c r="B66">
        <v>9</v>
      </c>
      <c r="C66" s="112">
        <f t="shared" si="32"/>
        <v>1245.51</v>
      </c>
      <c r="D66" s="112">
        <f>D63</f>
        <v>745.51</v>
      </c>
      <c r="E66" s="113">
        <f t="shared" si="38"/>
        <v>500</v>
      </c>
      <c r="F66">
        <v>9</v>
      </c>
      <c r="G66" s="118">
        <f t="shared" si="33"/>
        <v>500</v>
      </c>
      <c r="H66" s="118">
        <f>D66</f>
        <v>745.51</v>
      </c>
      <c r="I66" s="113"/>
      <c r="J66">
        <v>9</v>
      </c>
      <c r="K66" s="135">
        <f t="shared" si="34"/>
        <v>1912.1766666666667</v>
      </c>
      <c r="L66" s="112">
        <f>L63</f>
        <v>745.51</v>
      </c>
      <c r="M66" s="134">
        <f t="shared" si="39"/>
        <v>1166.6666666666667</v>
      </c>
      <c r="N66">
        <v>9</v>
      </c>
      <c r="O66" s="136">
        <f t="shared" si="35"/>
        <v>1166.6666666666667</v>
      </c>
      <c r="P66" s="118">
        <f>L66</f>
        <v>745.51</v>
      </c>
      <c r="Q66" s="113"/>
      <c r="R66">
        <v>9</v>
      </c>
      <c r="S66" s="135">
        <f t="shared" si="36"/>
        <v>1912.1766666666667</v>
      </c>
      <c r="T66" s="112">
        <f>T63</f>
        <v>745.51</v>
      </c>
      <c r="U66" s="134">
        <f t="shared" si="40"/>
        <v>1166.6666666666667</v>
      </c>
      <c r="V66">
        <v>9</v>
      </c>
      <c r="W66" s="136">
        <f t="shared" si="37"/>
        <v>1166.6666666666667</v>
      </c>
      <c r="X66" s="118">
        <f>T66</f>
        <v>745.51</v>
      </c>
    </row>
    <row r="67" spans="2:24" x14ac:dyDescent="0.3">
      <c r="B67">
        <v>10</v>
      </c>
      <c r="C67" s="112">
        <f t="shared" si="32"/>
        <v>500</v>
      </c>
      <c r="D67" s="112"/>
      <c r="E67" s="113">
        <f t="shared" si="38"/>
        <v>500</v>
      </c>
      <c r="F67">
        <v>10</v>
      </c>
      <c r="G67" s="118">
        <f t="shared" si="33"/>
        <v>500</v>
      </c>
      <c r="H67" s="118"/>
      <c r="I67" s="113"/>
      <c r="J67">
        <v>10</v>
      </c>
      <c r="K67" s="135">
        <f t="shared" si="34"/>
        <v>1166.6666666666667</v>
      </c>
      <c r="L67" s="112"/>
      <c r="M67" s="134">
        <f t="shared" si="39"/>
        <v>1166.6666666666667</v>
      </c>
      <c r="N67">
        <v>10</v>
      </c>
      <c r="O67" s="136">
        <f t="shared" si="35"/>
        <v>1166.6666666666667</v>
      </c>
      <c r="P67" s="118"/>
      <c r="Q67" s="113"/>
      <c r="R67">
        <v>10</v>
      </c>
      <c r="S67" s="135">
        <f t="shared" si="36"/>
        <v>1166.6666666666667</v>
      </c>
      <c r="T67" s="112"/>
      <c r="U67" s="134">
        <f t="shared" si="40"/>
        <v>1166.6666666666667</v>
      </c>
      <c r="V67">
        <v>10</v>
      </c>
      <c r="W67" s="136">
        <f t="shared" si="37"/>
        <v>1166.6666666666667</v>
      </c>
      <c r="X67" s="118"/>
    </row>
    <row r="68" spans="2:24" x14ac:dyDescent="0.3">
      <c r="B68">
        <v>11</v>
      </c>
      <c r="C68" s="112">
        <f t="shared" si="32"/>
        <v>500</v>
      </c>
      <c r="D68" s="112"/>
      <c r="E68" s="113">
        <f t="shared" si="38"/>
        <v>500</v>
      </c>
      <c r="F68">
        <v>11</v>
      </c>
      <c r="G68" s="118">
        <f t="shared" si="33"/>
        <v>500</v>
      </c>
      <c r="H68" s="118"/>
      <c r="I68" s="113"/>
      <c r="J68">
        <v>11</v>
      </c>
      <c r="K68" s="135">
        <f t="shared" si="34"/>
        <v>1166.6666666666667</v>
      </c>
      <c r="L68" s="112"/>
      <c r="M68" s="134">
        <f t="shared" si="39"/>
        <v>1166.6666666666667</v>
      </c>
      <c r="N68">
        <v>11</v>
      </c>
      <c r="O68" s="136">
        <f t="shared" si="35"/>
        <v>1166.6666666666667</v>
      </c>
      <c r="P68" s="118"/>
      <c r="Q68" s="113"/>
      <c r="R68">
        <v>11</v>
      </c>
      <c r="S68" s="135">
        <f t="shared" si="36"/>
        <v>1166.6666666666667</v>
      </c>
      <c r="T68" s="112"/>
      <c r="U68" s="134">
        <f t="shared" si="40"/>
        <v>1166.6666666666667</v>
      </c>
      <c r="V68">
        <v>11</v>
      </c>
      <c r="W68" s="136">
        <f t="shared" si="37"/>
        <v>1166.6666666666667</v>
      </c>
      <c r="X68" s="118"/>
    </row>
    <row r="69" spans="2:24" x14ac:dyDescent="0.3">
      <c r="B69">
        <v>12</v>
      </c>
      <c r="C69" s="112">
        <f t="shared" si="32"/>
        <v>1245.51</v>
      </c>
      <c r="D69" s="112">
        <f>D66</f>
        <v>745.51</v>
      </c>
      <c r="E69" s="113">
        <f t="shared" si="38"/>
        <v>500</v>
      </c>
      <c r="F69">
        <v>12</v>
      </c>
      <c r="G69" s="118">
        <f t="shared" si="33"/>
        <v>500</v>
      </c>
      <c r="H69" s="118">
        <f>D69</f>
        <v>745.51</v>
      </c>
      <c r="I69" s="113"/>
      <c r="J69">
        <v>12</v>
      </c>
      <c r="K69" s="135">
        <f t="shared" si="34"/>
        <v>1912.1766666666667</v>
      </c>
      <c r="L69" s="112">
        <f>L66</f>
        <v>745.51</v>
      </c>
      <c r="M69" s="134">
        <f t="shared" si="39"/>
        <v>1166.6666666666667</v>
      </c>
      <c r="N69">
        <v>12</v>
      </c>
      <c r="O69" s="136">
        <f t="shared" si="35"/>
        <v>1166.6666666666667</v>
      </c>
      <c r="P69" s="118">
        <f>L69</f>
        <v>745.51</v>
      </c>
      <c r="Q69" s="113"/>
      <c r="R69">
        <v>12</v>
      </c>
      <c r="S69" s="135">
        <f t="shared" si="36"/>
        <v>1912.1766666666667</v>
      </c>
      <c r="T69" s="112">
        <f>T66</f>
        <v>745.51</v>
      </c>
      <c r="U69" s="134">
        <f t="shared" si="40"/>
        <v>1166.6666666666667</v>
      </c>
      <c r="V69">
        <v>12</v>
      </c>
      <c r="W69" s="136">
        <f t="shared" si="37"/>
        <v>1166.6666666666667</v>
      </c>
      <c r="X69" s="118">
        <f>T69</f>
        <v>745.51</v>
      </c>
    </row>
    <row r="70" spans="2:24" x14ac:dyDescent="0.3">
      <c r="B70">
        <v>13</v>
      </c>
      <c r="C70" s="112">
        <f t="shared" si="32"/>
        <v>500</v>
      </c>
      <c r="D70" s="112"/>
      <c r="E70" s="113">
        <f t="shared" si="38"/>
        <v>500</v>
      </c>
      <c r="F70">
        <v>13</v>
      </c>
      <c r="G70" s="118">
        <f t="shared" si="33"/>
        <v>500</v>
      </c>
      <c r="H70" s="118"/>
      <c r="I70" s="113"/>
      <c r="J70" t="s">
        <v>2</v>
      </c>
      <c r="K70" s="112">
        <f>SUM(K58:K69)</f>
        <v>16982.039999999997</v>
      </c>
      <c r="L70" s="112">
        <f>SUM(L58:L69)</f>
        <v>2982.04</v>
      </c>
      <c r="M70" s="113">
        <f>SUM(M58:M69)</f>
        <v>13999.999999999998</v>
      </c>
      <c r="N70" t="s">
        <v>147</v>
      </c>
      <c r="Q70" s="113"/>
      <c r="R70" t="s">
        <v>2</v>
      </c>
      <c r="S70" s="112">
        <f>SUM(S58:S69)</f>
        <v>16982.039999999997</v>
      </c>
      <c r="T70" s="112">
        <f>SUM(T58:T69)</f>
        <v>2982.04</v>
      </c>
      <c r="U70" s="113">
        <f>SUM(U58:U69)</f>
        <v>13999.999999999998</v>
      </c>
      <c r="V70" t="s">
        <v>147</v>
      </c>
    </row>
    <row r="71" spans="2:24" x14ac:dyDescent="0.3">
      <c r="B71">
        <v>14</v>
      </c>
      <c r="C71" s="112">
        <f t="shared" si="32"/>
        <v>500</v>
      </c>
      <c r="D71" s="112"/>
      <c r="E71" s="113">
        <f t="shared" si="38"/>
        <v>500</v>
      </c>
      <c r="F71">
        <v>14</v>
      </c>
      <c r="G71" s="118">
        <f t="shared" si="33"/>
        <v>500</v>
      </c>
      <c r="H71" s="118"/>
      <c r="I71" s="113"/>
      <c r="Q71" s="113"/>
    </row>
    <row r="72" spans="2:24" x14ac:dyDescent="0.3">
      <c r="B72">
        <v>15</v>
      </c>
      <c r="C72" s="112">
        <f t="shared" si="32"/>
        <v>1245.51</v>
      </c>
      <c r="D72" s="112">
        <f>D66</f>
        <v>745.51</v>
      </c>
      <c r="E72" s="113">
        <f t="shared" si="38"/>
        <v>500</v>
      </c>
      <c r="F72">
        <v>15</v>
      </c>
      <c r="G72" s="118">
        <f t="shared" si="33"/>
        <v>500</v>
      </c>
      <c r="H72" s="118">
        <f>D72</f>
        <v>745.51</v>
      </c>
      <c r="I72" s="113"/>
      <c r="Q72" s="113"/>
    </row>
    <row r="73" spans="2:24" x14ac:dyDescent="0.3">
      <c r="B73">
        <v>16</v>
      </c>
      <c r="C73" s="112">
        <f t="shared" si="32"/>
        <v>500</v>
      </c>
      <c r="D73" s="112"/>
      <c r="E73" s="113">
        <f t="shared" si="38"/>
        <v>500</v>
      </c>
      <c r="F73">
        <v>16</v>
      </c>
      <c r="G73" s="118">
        <f t="shared" si="33"/>
        <v>500</v>
      </c>
      <c r="H73" s="118"/>
      <c r="I73" s="113"/>
      <c r="Q73" s="113"/>
    </row>
    <row r="74" spans="2:24" x14ac:dyDescent="0.3">
      <c r="B74">
        <v>17</v>
      </c>
      <c r="C74" s="112">
        <f t="shared" si="32"/>
        <v>500</v>
      </c>
      <c r="D74" s="112"/>
      <c r="E74" s="113">
        <f t="shared" si="38"/>
        <v>500</v>
      </c>
      <c r="F74">
        <v>17</v>
      </c>
      <c r="G74" s="118">
        <f t="shared" si="33"/>
        <v>500</v>
      </c>
      <c r="H74" s="118"/>
      <c r="I74" s="113"/>
      <c r="Q74" s="113"/>
    </row>
    <row r="75" spans="2:24" x14ac:dyDescent="0.3">
      <c r="B75">
        <v>18</v>
      </c>
      <c r="C75" s="112">
        <f t="shared" si="32"/>
        <v>1245.51</v>
      </c>
      <c r="D75" s="112">
        <f>D66</f>
        <v>745.51</v>
      </c>
      <c r="E75" s="113">
        <f t="shared" si="38"/>
        <v>500</v>
      </c>
      <c r="F75">
        <v>18</v>
      </c>
      <c r="G75" s="118">
        <f t="shared" si="33"/>
        <v>500</v>
      </c>
      <c r="H75" s="118">
        <f>D75</f>
        <v>745.51</v>
      </c>
      <c r="I75" s="113"/>
      <c r="Q75" s="113"/>
    </row>
    <row r="76" spans="2:24" x14ac:dyDescent="0.3">
      <c r="B76" t="s">
        <v>2</v>
      </c>
      <c r="C76" s="112">
        <f>SUM(C58:C75)</f>
        <v>13473.060000000001</v>
      </c>
      <c r="D76" s="112">
        <f t="shared" ref="D76:E76" si="41">SUM(D58:D75)</f>
        <v>4473.0600000000004</v>
      </c>
      <c r="E76" s="113">
        <f t="shared" si="41"/>
        <v>9000</v>
      </c>
      <c r="F76" t="s">
        <v>147</v>
      </c>
      <c r="I76" s="113"/>
      <c r="Q76" s="113"/>
    </row>
    <row r="77" spans="2:24" x14ac:dyDescent="0.3">
      <c r="I77" s="113"/>
      <c r="Q77" s="113"/>
    </row>
    <row r="78" spans="2:24" x14ac:dyDescent="0.3">
      <c r="I78" s="113"/>
      <c r="Q78" s="113"/>
    </row>
    <row r="79" spans="2:24" x14ac:dyDescent="0.3">
      <c r="C79" s="179" t="s">
        <v>109</v>
      </c>
      <c r="D79" s="179"/>
      <c r="I79" s="113"/>
      <c r="K79" s="179" t="s">
        <v>109</v>
      </c>
      <c r="L79" s="179"/>
      <c r="Q79" s="113"/>
      <c r="S79" s="179" t="s">
        <v>109</v>
      </c>
      <c r="T79" s="179"/>
    </row>
    <row r="80" spans="2:24" x14ac:dyDescent="0.3">
      <c r="C80" s="112" t="s">
        <v>107</v>
      </c>
      <c r="D80" s="112" t="s">
        <v>108</v>
      </c>
      <c r="I80" s="113"/>
      <c r="K80" s="112" t="s">
        <v>107</v>
      </c>
      <c r="L80" s="112" t="s">
        <v>108</v>
      </c>
      <c r="Q80" s="113"/>
      <c r="S80" s="112" t="s">
        <v>107</v>
      </c>
      <c r="T80" s="112" t="s">
        <v>108</v>
      </c>
    </row>
    <row r="81" spans="2:20" x14ac:dyDescent="0.3">
      <c r="B81">
        <v>1</v>
      </c>
      <c r="C81" s="120">
        <f>'Emprunt fin'!F19</f>
        <v>716.27601557405785</v>
      </c>
      <c r="D81" s="120">
        <f>'Emprunt fin'!D19</f>
        <v>247.7371952880336</v>
      </c>
      <c r="I81" s="113"/>
      <c r="J81">
        <v>1</v>
      </c>
      <c r="K81" s="120">
        <f>'Emprunt fin'!F37</f>
        <v>737.87138196509272</v>
      </c>
      <c r="L81" s="120">
        <f>'Emprunt fin'!D37</f>
        <v>226.14182889699879</v>
      </c>
      <c r="Q81" s="113"/>
      <c r="R81">
        <v>1</v>
      </c>
      <c r="S81" s="120">
        <f>'Emprunt fin'!F49</f>
        <v>752.62880960439497</v>
      </c>
      <c r="T81" s="120">
        <f>'Emprunt fin'!D49</f>
        <v>211.38440125769648</v>
      </c>
    </row>
    <row r="82" spans="2:20" x14ac:dyDescent="0.3">
      <c r="B82">
        <v>2</v>
      </c>
      <c r="C82" s="120">
        <f>'Emprunt fin'!F20</f>
        <v>717.45900364839383</v>
      </c>
      <c r="D82" s="120">
        <f>'Emprunt fin'!D20</f>
        <v>246.55420721369759</v>
      </c>
      <c r="I82" s="113"/>
      <c r="J82">
        <v>2</v>
      </c>
      <c r="K82" s="120">
        <f>'Emprunt fin'!F38</f>
        <v>739.0900365427683</v>
      </c>
      <c r="L82" s="120">
        <f>'Emprunt fin'!D38</f>
        <v>224.92317431932321</v>
      </c>
      <c r="Q82" s="113"/>
      <c r="R82">
        <v>2</v>
      </c>
      <c r="S82" s="120">
        <f>'Emprunt fin'!F50</f>
        <v>753.87183727362401</v>
      </c>
      <c r="T82" s="120">
        <f>'Emprunt fin'!D50</f>
        <v>210.14137358846742</v>
      </c>
    </row>
    <row r="83" spans="2:20" x14ac:dyDescent="0.3">
      <c r="B83">
        <v>3</v>
      </c>
      <c r="C83" s="120">
        <f>'Emprunt fin'!F21</f>
        <v>718.64394552371391</v>
      </c>
      <c r="D83" s="120">
        <f>'Emprunt fin'!D21</f>
        <v>245.36926533837757</v>
      </c>
      <c r="I83" s="113"/>
      <c r="J83">
        <v>3</v>
      </c>
      <c r="K83" s="120">
        <f>'Emprunt fin'!F39</f>
        <v>740.31070382755775</v>
      </c>
      <c r="L83" s="120">
        <f>'Emprunt fin'!D39</f>
        <v>223.70250703453365</v>
      </c>
      <c r="Q83" s="113"/>
      <c r="R83">
        <v>3</v>
      </c>
      <c r="S83" s="120">
        <f>'Emprunt fin'!F51</f>
        <v>755.11691790410941</v>
      </c>
      <c r="T83" s="120">
        <f>'Emprunt fin'!D51</f>
        <v>208.89629295798207</v>
      </c>
    </row>
    <row r="84" spans="2:20" x14ac:dyDescent="0.3">
      <c r="B84">
        <v>4</v>
      </c>
      <c r="C84" s="120">
        <f>'Emprunt fin'!F22</f>
        <v>719.83084442687903</v>
      </c>
      <c r="D84" s="120">
        <f>'Emprunt fin'!D22</f>
        <v>244.18236643521243</v>
      </c>
      <c r="I84" s="113"/>
      <c r="J84">
        <v>4</v>
      </c>
      <c r="K84" s="120">
        <f>'Emprunt fin'!F40</f>
        <v>741.53338714361075</v>
      </c>
      <c r="L84" s="120">
        <f>'Emprunt fin'!D40</f>
        <v>222.47982371848065</v>
      </c>
      <c r="Q84" s="113"/>
      <c r="R84">
        <v>4</v>
      </c>
      <c r="S84" s="120">
        <f>'Emprunt fin'!F52</f>
        <v>756.36405488648347</v>
      </c>
      <c r="T84" s="120">
        <f>'Emprunt fin'!D52</f>
        <v>207.64915597560798</v>
      </c>
    </row>
    <row r="85" spans="2:20" x14ac:dyDescent="0.3">
      <c r="B85">
        <v>5</v>
      </c>
      <c r="C85" s="120">
        <f>'Emprunt fin'!F23</f>
        <v>721.01970359007987</v>
      </c>
      <c r="D85" s="120">
        <f>'Emprunt fin'!D23</f>
        <v>242.99350727201156</v>
      </c>
      <c r="I85" s="113"/>
      <c r="J85">
        <v>5</v>
      </c>
      <c r="K85" s="120">
        <f>'Emprunt fin'!F41</f>
        <v>742.75808982056674</v>
      </c>
      <c r="L85" s="120">
        <f>'Emprunt fin'!D41</f>
        <v>221.25512104152472</v>
      </c>
      <c r="Q85" s="113"/>
      <c r="R85">
        <v>5</v>
      </c>
      <c r="S85" s="120">
        <f>'Emprunt fin'!F53</f>
        <v>757.61325161697857</v>
      </c>
      <c r="T85" s="120">
        <f>'Emprunt fin'!D53</f>
        <v>206.39995924511291</v>
      </c>
    </row>
    <row r="86" spans="2:20" x14ac:dyDescent="0.3">
      <c r="B86">
        <v>6</v>
      </c>
      <c r="C86" s="120">
        <f>'Emprunt fin'!F24</f>
        <v>722.21052625084531</v>
      </c>
      <c r="D86" s="120">
        <f>'Emprunt fin'!D24</f>
        <v>241.80268461124612</v>
      </c>
      <c r="I86" s="113"/>
      <c r="J86">
        <v>6</v>
      </c>
      <c r="K86" s="120">
        <f>'Emprunt fin'!F42</f>
        <v>743.98481519356437</v>
      </c>
      <c r="L86" s="120">
        <f>'Emprunt fin'!D42</f>
        <v>220.02839566852708</v>
      </c>
      <c r="Q86" s="113"/>
      <c r="R86">
        <v>6</v>
      </c>
      <c r="S86" s="120">
        <f>'Emprunt fin'!F54</f>
        <v>758.86451149743607</v>
      </c>
      <c r="T86" s="120">
        <f>'Emprunt fin'!D54</f>
        <v>205.14869936465533</v>
      </c>
    </row>
    <row r="87" spans="2:20" x14ac:dyDescent="0.3">
      <c r="B87">
        <v>7</v>
      </c>
      <c r="C87" s="120">
        <f>'Emprunt fin'!F25</f>
        <v>723.40331565205122</v>
      </c>
      <c r="D87" s="120">
        <f>'Emprunt fin'!D25</f>
        <v>240.60989521004024</v>
      </c>
      <c r="I87" s="113"/>
      <c r="J87">
        <v>7</v>
      </c>
      <c r="K87" s="120">
        <f>'Emprunt fin'!F43</f>
        <v>745.21356660325068</v>
      </c>
      <c r="L87" s="120">
        <f>'Emprunt fin'!D43</f>
        <v>218.7996442588408</v>
      </c>
      <c r="Q87" s="113"/>
      <c r="R87">
        <v>7</v>
      </c>
      <c r="S87" s="120">
        <f>'Emprunt fin'!F55</f>
        <v>760.11783793531617</v>
      </c>
      <c r="T87" s="120">
        <f>'Emprunt fin'!D55</f>
        <v>203.89537292677534</v>
      </c>
    </row>
    <row r="88" spans="2:20" x14ac:dyDescent="0.3">
      <c r="B88">
        <v>8</v>
      </c>
      <c r="C88" s="120">
        <f>'Emprunt fin'!F26</f>
        <v>724.59807504192918</v>
      </c>
      <c r="D88" s="120">
        <f>'Emprunt fin'!D26</f>
        <v>239.41513582016225</v>
      </c>
      <c r="I88" s="113"/>
      <c r="J88">
        <v>8</v>
      </c>
      <c r="K88" s="120">
        <f>'Emprunt fin'!F44</f>
        <v>746.44434739578992</v>
      </c>
      <c r="L88" s="120">
        <f>'Emprunt fin'!D44</f>
        <v>217.56886346630159</v>
      </c>
      <c r="Q88" s="113"/>
      <c r="R88">
        <v>8</v>
      </c>
      <c r="S88" s="120">
        <f>'Emprunt fin'!F56</f>
        <v>761.37323434370614</v>
      </c>
      <c r="T88" s="120">
        <f>'Emprunt fin'!D56</f>
        <v>202.63997651838534</v>
      </c>
    </row>
    <row r="89" spans="2:20" x14ac:dyDescent="0.3">
      <c r="B89">
        <v>9</v>
      </c>
      <c r="C89" s="120">
        <f>'Emprunt fin'!F27</f>
        <v>725.79480767407586</v>
      </c>
      <c r="D89" s="120">
        <f>'Emprunt fin'!D27</f>
        <v>238.2184031880156</v>
      </c>
      <c r="I89" s="113"/>
      <c r="J89">
        <v>9</v>
      </c>
      <c r="K89" s="120">
        <f>'Emprunt fin'!F45</f>
        <v>747.67716092287287</v>
      </c>
      <c r="L89" s="120">
        <f>'Emprunt fin'!D45</f>
        <v>216.33604993921864</v>
      </c>
      <c r="Q89" s="113"/>
      <c r="R89">
        <v>9</v>
      </c>
      <c r="S89" s="120">
        <f>'Emprunt fin'!F57</f>
        <v>762.63070414133063</v>
      </c>
      <c r="T89" s="120">
        <f>'Emprunt fin'!D57</f>
        <v>201.38250672076077</v>
      </c>
    </row>
    <row r="90" spans="2:20" x14ac:dyDescent="0.3">
      <c r="B90">
        <v>10</v>
      </c>
      <c r="C90" s="120">
        <f>'Emprunt fin'!F28</f>
        <v>726.99351680746111</v>
      </c>
      <c r="D90" s="120">
        <f>'Emprunt fin'!D28</f>
        <v>237.01969405463032</v>
      </c>
      <c r="I90" s="113"/>
      <c r="J90">
        <v>10</v>
      </c>
      <c r="K90" s="120">
        <f>'Emprunt fin'!F46</f>
        <v>748.91201054172586</v>
      </c>
      <c r="L90" s="120">
        <f>'Emprunt fin'!D46</f>
        <v>215.10120032036562</v>
      </c>
      <c r="Q90" s="113"/>
      <c r="R90">
        <v>10</v>
      </c>
      <c r="S90" s="120">
        <f>'Emprunt fin'!F58</f>
        <v>763.89025075256075</v>
      </c>
      <c r="T90" s="120">
        <f>'Emprunt fin'!D58</f>
        <v>200.12296010953068</v>
      </c>
    </row>
    <row r="91" spans="2:20" x14ac:dyDescent="0.3">
      <c r="B91">
        <v>11</v>
      </c>
      <c r="C91" s="120">
        <f>'Emprunt fin'!F29</f>
        <v>728.19420570643751</v>
      </c>
      <c r="D91" s="120">
        <f>'Emprunt fin'!D29</f>
        <v>235.81900515565388</v>
      </c>
      <c r="I91" s="113"/>
      <c r="J91">
        <v>11</v>
      </c>
      <c r="K91" s="120">
        <f>'Emprunt fin'!F47</f>
        <v>750.14889961511994</v>
      </c>
      <c r="L91" s="120">
        <f>'Emprunt fin'!D47</f>
        <v>213.86431124697145</v>
      </c>
      <c r="Q91" s="113"/>
      <c r="R91">
        <v>11</v>
      </c>
      <c r="S91" s="120">
        <f>'Emprunt fin'!F59</f>
        <v>765.15187760742288</v>
      </c>
      <c r="T91" s="120">
        <f>'Emprunt fin'!D59</f>
        <v>198.86133325466858</v>
      </c>
    </row>
    <row r="92" spans="2:20" x14ac:dyDescent="0.3">
      <c r="B92">
        <v>12</v>
      </c>
      <c r="C92" s="120">
        <f>'Emprunt fin'!F30</f>
        <v>729.39687764074893</v>
      </c>
      <c r="D92" s="120">
        <f>'Emprunt fin'!D30</f>
        <v>234.6163332213425</v>
      </c>
      <c r="I92" s="113"/>
      <c r="J92">
        <v>12</v>
      </c>
      <c r="K92" s="120">
        <f>'Emprunt fin'!F48</f>
        <v>751.38783151138034</v>
      </c>
      <c r="L92" s="120">
        <f>'Emprunt fin'!D48</f>
        <v>212.62537935071109</v>
      </c>
      <c r="Q92" s="113"/>
      <c r="R92">
        <v>12</v>
      </c>
      <c r="S92" s="120">
        <f>'Emprunt fin'!F60</f>
        <v>766.4155881416084</v>
      </c>
      <c r="T92" s="120">
        <f>'Emprunt fin'!D60</f>
        <v>197.59762272048303</v>
      </c>
    </row>
    <row r="93" spans="2:20" x14ac:dyDescent="0.3">
      <c r="B93">
        <v>13</v>
      </c>
      <c r="C93" s="120">
        <f>'Emprunt fin'!F31</f>
        <v>730.60153588553942</v>
      </c>
      <c r="D93" s="120">
        <f>'Emprunt fin'!D31</f>
        <v>233.41167497655201</v>
      </c>
      <c r="I93" s="113"/>
      <c r="J93" t="s">
        <v>2</v>
      </c>
      <c r="K93" s="114">
        <f>SUM(K81:K92)</f>
        <v>8935.3322310833009</v>
      </c>
      <c r="L93" s="114">
        <f>SUM(L81:L92)</f>
        <v>2632.826299261797</v>
      </c>
      <c r="Q93" s="113"/>
      <c r="R93" t="s">
        <v>2</v>
      </c>
      <c r="S93" s="114">
        <f>SUM(S81:S92)</f>
        <v>9114.0388757049714</v>
      </c>
      <c r="T93" s="114">
        <f>SUM(T81:T92)</f>
        <v>2454.1196546401261</v>
      </c>
    </row>
    <row r="94" spans="2:20" x14ac:dyDescent="0.3">
      <c r="B94">
        <v>14</v>
      </c>
      <c r="C94" s="120">
        <f>'Emprunt fin'!F32</f>
        <v>731.80818372136218</v>
      </c>
      <c r="D94" s="120">
        <f>'Emprunt fin'!D32</f>
        <v>232.20502714072927</v>
      </c>
      <c r="I94" s="113"/>
      <c r="J94" t="s">
        <v>148</v>
      </c>
      <c r="K94" s="40">
        <f>'Emprunt fin'!H48</f>
        <v>127989.09809158577</v>
      </c>
      <c r="Q94" s="113"/>
      <c r="R94" t="s">
        <v>148</v>
      </c>
      <c r="S94" s="40">
        <f>'Emprunt fin'!H60</f>
        <v>118875.0592158808</v>
      </c>
    </row>
    <row r="95" spans="2:20" x14ac:dyDescent="0.3">
      <c r="B95">
        <v>15</v>
      </c>
      <c r="C95" s="120">
        <f>'Emprunt fin'!F33</f>
        <v>733.01682443418861</v>
      </c>
      <c r="D95" s="120">
        <f>'Emprunt fin'!D33</f>
        <v>230.99638642790288</v>
      </c>
      <c r="I95" s="113"/>
      <c r="Q95" s="113"/>
    </row>
    <row r="96" spans="2:20" x14ac:dyDescent="0.3">
      <c r="B96">
        <v>16</v>
      </c>
      <c r="C96" s="120">
        <f>'Emprunt fin'!F34</f>
        <v>734.22746131541703</v>
      </c>
      <c r="D96" s="120">
        <f>'Emprunt fin'!D34</f>
        <v>229.78574954667442</v>
      </c>
      <c r="I96" s="113"/>
      <c r="Q96" s="113"/>
    </row>
    <row r="97" spans="1:21" x14ac:dyDescent="0.3">
      <c r="B97">
        <v>17</v>
      </c>
      <c r="C97" s="120">
        <f>'Emprunt fin'!F35</f>
        <v>735.44009766188196</v>
      </c>
      <c r="D97" s="120">
        <f>'Emprunt fin'!D35</f>
        <v>228.57311320020952</v>
      </c>
      <c r="I97" s="113"/>
      <c r="Q97" s="113"/>
    </row>
    <row r="98" spans="1:21" x14ac:dyDescent="0.3">
      <c r="B98">
        <v>18</v>
      </c>
      <c r="C98" s="120">
        <f>'Emprunt fin'!F36</f>
        <v>736.6547367758626</v>
      </c>
      <c r="D98" s="120">
        <f>'Emprunt fin'!D36</f>
        <v>227.3584740862288</v>
      </c>
      <c r="I98" s="113"/>
      <c r="Q98" s="113"/>
    </row>
    <row r="99" spans="1:21" x14ac:dyDescent="0.3">
      <c r="B99" t="s">
        <v>2</v>
      </c>
      <c r="C99" s="114">
        <f>SUM(C81:C98)</f>
        <v>13075.569677330926</v>
      </c>
      <c r="D99" s="114">
        <f t="shared" ref="D99" si="42">SUM(D81:D98)</f>
        <v>4276.6681181867198</v>
      </c>
      <c r="I99" s="113"/>
      <c r="J99" s="41"/>
      <c r="Q99" s="113"/>
    </row>
    <row r="100" spans="1:21" x14ac:dyDescent="0.3">
      <c r="B100" t="s">
        <v>148</v>
      </c>
      <c r="C100" s="40">
        <f>'Emprunt fin'!E3</f>
        <v>136924.43032266907</v>
      </c>
      <c r="I100" s="113"/>
      <c r="Q100" s="113"/>
    </row>
    <row r="101" spans="1:21" x14ac:dyDescent="0.3">
      <c r="C101" s="40"/>
    </row>
    <row r="102" spans="1:21" x14ac:dyDescent="0.3">
      <c r="C102" s="40"/>
    </row>
    <row r="103" spans="1:21" x14ac:dyDescent="0.3">
      <c r="C103" s="40"/>
    </row>
    <row r="104" spans="1:21" x14ac:dyDescent="0.3">
      <c r="C104" s="111" t="s">
        <v>159</v>
      </c>
      <c r="D104" s="110"/>
      <c r="E104" s="110"/>
    </row>
    <row r="105" spans="1:21" x14ac:dyDescent="0.3">
      <c r="C105">
        <v>1</v>
      </c>
      <c r="D105">
        <v>2</v>
      </c>
      <c r="E105">
        <v>3</v>
      </c>
      <c r="F105">
        <v>4</v>
      </c>
      <c r="G105">
        <v>5</v>
      </c>
      <c r="H105">
        <v>6</v>
      </c>
      <c r="I105">
        <v>7</v>
      </c>
      <c r="J105">
        <v>8</v>
      </c>
      <c r="K105">
        <v>9</v>
      </c>
      <c r="L105">
        <v>10</v>
      </c>
      <c r="M105">
        <v>11</v>
      </c>
      <c r="N105">
        <v>12</v>
      </c>
      <c r="O105">
        <v>13</v>
      </c>
      <c r="P105">
        <v>14</v>
      </c>
      <c r="Q105">
        <v>15</v>
      </c>
      <c r="R105">
        <v>16</v>
      </c>
      <c r="S105">
        <v>17</v>
      </c>
      <c r="T105">
        <v>18</v>
      </c>
      <c r="U105" t="s">
        <v>146</v>
      </c>
    </row>
    <row r="106" spans="1:21" x14ac:dyDescent="0.3">
      <c r="A106" s="199" t="s">
        <v>94</v>
      </c>
      <c r="B106" s="200"/>
      <c r="C106">
        <v>0</v>
      </c>
      <c r="D106">
        <v>0</v>
      </c>
      <c r="E106">
        <v>0</v>
      </c>
      <c r="F106">
        <v>0</v>
      </c>
      <c r="G106">
        <v>0</v>
      </c>
      <c r="H106">
        <v>0</v>
      </c>
      <c r="I106" s="41">
        <f>D15</f>
        <v>208.26446280991735</v>
      </c>
      <c r="J106" s="41">
        <f>D16</f>
        <v>416.52892561983469</v>
      </c>
      <c r="K106" s="41">
        <f>D17</f>
        <v>624.7933884297521</v>
      </c>
      <c r="L106" s="41">
        <f>D18</f>
        <v>833.05785123966939</v>
      </c>
      <c r="M106" s="41">
        <f>D19</f>
        <v>1041.3223140495868</v>
      </c>
      <c r="N106" s="41">
        <f>M106</f>
        <v>1041.3223140495868</v>
      </c>
      <c r="O106" s="41">
        <f t="shared" ref="O106:T106" si="43">N106</f>
        <v>1041.3223140495868</v>
      </c>
      <c r="P106" s="41">
        <f t="shared" si="43"/>
        <v>1041.3223140495868</v>
      </c>
      <c r="Q106" s="41">
        <f t="shared" si="43"/>
        <v>1041.3223140495868</v>
      </c>
      <c r="R106" s="41">
        <f t="shared" si="43"/>
        <v>1041.3223140495868</v>
      </c>
      <c r="S106" s="41">
        <f t="shared" si="43"/>
        <v>1041.3223140495868</v>
      </c>
      <c r="T106" s="41">
        <f t="shared" si="43"/>
        <v>1041.3223140495868</v>
      </c>
    </row>
    <row r="107" spans="1:21" x14ac:dyDescent="0.3">
      <c r="A107" s="199" t="s">
        <v>95</v>
      </c>
      <c r="B107" s="200"/>
      <c r="H107">
        <f>0.21*Résultat!B11</f>
        <v>105</v>
      </c>
    </row>
    <row r="108" spans="1:21" x14ac:dyDescent="0.3">
      <c r="A108" s="199" t="s">
        <v>96</v>
      </c>
      <c r="B108" s="200"/>
      <c r="C108" s="41">
        <f>D33</f>
        <v>349.03749999999997</v>
      </c>
      <c r="D108" s="41">
        <f>C108</f>
        <v>349.03749999999997</v>
      </c>
      <c r="E108" s="41">
        <f t="shared" ref="E108:T108" si="44">D108</f>
        <v>349.03749999999997</v>
      </c>
      <c r="F108" s="41">
        <f t="shared" si="44"/>
        <v>349.03749999999997</v>
      </c>
      <c r="G108" s="41">
        <f t="shared" si="44"/>
        <v>349.03749999999997</v>
      </c>
      <c r="H108" s="41">
        <f t="shared" si="44"/>
        <v>349.03749999999997</v>
      </c>
      <c r="I108" s="41">
        <f t="shared" si="44"/>
        <v>349.03749999999997</v>
      </c>
      <c r="J108" s="41">
        <f t="shared" si="44"/>
        <v>349.03749999999997</v>
      </c>
      <c r="K108" s="41">
        <f t="shared" si="44"/>
        <v>349.03749999999997</v>
      </c>
      <c r="L108" s="41">
        <f t="shared" si="44"/>
        <v>349.03749999999997</v>
      </c>
      <c r="M108" s="41">
        <f t="shared" si="44"/>
        <v>349.03749999999997</v>
      </c>
      <c r="N108" s="41">
        <f t="shared" si="44"/>
        <v>349.03749999999997</v>
      </c>
      <c r="O108" s="41">
        <f t="shared" si="44"/>
        <v>349.03749999999997</v>
      </c>
      <c r="P108" s="41">
        <f t="shared" si="44"/>
        <v>349.03749999999997</v>
      </c>
      <c r="Q108" s="41">
        <f t="shared" si="44"/>
        <v>349.03749999999997</v>
      </c>
      <c r="R108" s="41">
        <f t="shared" si="44"/>
        <v>349.03749999999997</v>
      </c>
      <c r="S108" s="41">
        <f t="shared" si="44"/>
        <v>349.03749999999997</v>
      </c>
      <c r="T108" s="41">
        <f t="shared" si="44"/>
        <v>349.03749999999997</v>
      </c>
    </row>
    <row r="109" spans="1:21" x14ac:dyDescent="0.3">
      <c r="A109" s="199" t="s">
        <v>97</v>
      </c>
      <c r="B109" s="200"/>
      <c r="C109" s="1">
        <f>'Invest initial'!E11</f>
        <v>31144.900499999996</v>
      </c>
    </row>
    <row r="110" spans="1:21" x14ac:dyDescent="0.3">
      <c r="A110" s="199" t="s">
        <v>99</v>
      </c>
      <c r="B110" s="200"/>
      <c r="C110" s="41">
        <f>C106-C108-C109-C107</f>
        <v>-31493.937999999995</v>
      </c>
      <c r="D110" s="41">
        <f t="shared" ref="D110:T110" si="45">D106-D108-D109-D107</f>
        <v>-349.03749999999997</v>
      </c>
      <c r="E110" s="41">
        <f t="shared" si="45"/>
        <v>-349.03749999999997</v>
      </c>
      <c r="F110" s="41">
        <f t="shared" si="45"/>
        <v>-349.03749999999997</v>
      </c>
      <c r="G110" s="41">
        <f t="shared" si="45"/>
        <v>-349.03749999999997</v>
      </c>
      <c r="H110" s="41">
        <f t="shared" si="45"/>
        <v>-454.03749999999997</v>
      </c>
      <c r="I110" s="41">
        <f t="shared" si="45"/>
        <v>-140.77303719008262</v>
      </c>
      <c r="J110" s="41">
        <f t="shared" si="45"/>
        <v>67.491425619834729</v>
      </c>
      <c r="K110" s="41">
        <f t="shared" si="45"/>
        <v>275.75588842975213</v>
      </c>
      <c r="L110" s="41">
        <f t="shared" si="45"/>
        <v>484.02035123966942</v>
      </c>
      <c r="M110" s="41">
        <f t="shared" si="45"/>
        <v>692.28481404958688</v>
      </c>
      <c r="N110" s="41">
        <f t="shared" si="45"/>
        <v>692.28481404958688</v>
      </c>
      <c r="O110" s="41">
        <f t="shared" si="45"/>
        <v>692.28481404958688</v>
      </c>
      <c r="P110" s="41">
        <f t="shared" si="45"/>
        <v>692.28481404958688</v>
      </c>
      <c r="Q110" s="41">
        <f t="shared" si="45"/>
        <v>692.28481404958688</v>
      </c>
      <c r="R110" s="41">
        <f t="shared" si="45"/>
        <v>692.28481404958688</v>
      </c>
      <c r="S110" s="41">
        <f t="shared" si="45"/>
        <v>692.28481404958688</v>
      </c>
      <c r="T110" s="41">
        <f t="shared" si="45"/>
        <v>692.28481404958688</v>
      </c>
    </row>
    <row r="111" spans="1:21" x14ac:dyDescent="0.3">
      <c r="A111" s="201" t="s">
        <v>98</v>
      </c>
      <c r="B111" s="202"/>
      <c r="C111" s="118"/>
      <c r="D111" s="118"/>
      <c r="E111" s="118"/>
      <c r="F111" s="119">
        <f>SUM(C110:E110)</f>
        <v>-32192.012999999992</v>
      </c>
      <c r="G111" s="118"/>
      <c r="H111" s="118"/>
      <c r="I111" s="119">
        <f>SUM(F110:H110)</f>
        <v>-1152.1125</v>
      </c>
      <c r="J111" s="118"/>
      <c r="K111" s="118"/>
      <c r="L111" s="119">
        <f>SUM(I110:K110)</f>
        <v>202.47427685950424</v>
      </c>
      <c r="M111" s="118"/>
      <c r="N111" s="118"/>
      <c r="O111" s="119">
        <f>SUM(L110:N110)</f>
        <v>1868.5899793388432</v>
      </c>
      <c r="P111" s="118"/>
      <c r="Q111" s="118"/>
      <c r="R111" s="119">
        <f>SUM(O110:Q110)</f>
        <v>2076.8544421487604</v>
      </c>
      <c r="S111" s="118"/>
      <c r="T111" s="118"/>
      <c r="U111" s="119">
        <f>SUM(R110:T110)</f>
        <v>2076.8544421487604</v>
      </c>
    </row>
    <row r="112" spans="1:21" x14ac:dyDescent="0.3">
      <c r="C112" s="40"/>
    </row>
    <row r="113" spans="1:66" x14ac:dyDescent="0.3">
      <c r="C113" s="40"/>
    </row>
    <row r="114" spans="1:66" x14ac:dyDescent="0.3">
      <c r="C114" s="111" t="s">
        <v>161</v>
      </c>
      <c r="D114" s="110"/>
      <c r="E114" s="110"/>
    </row>
    <row r="115" spans="1:66" x14ac:dyDescent="0.3">
      <c r="C115">
        <v>1</v>
      </c>
      <c r="D115">
        <v>2</v>
      </c>
      <c r="E115">
        <v>3</v>
      </c>
      <c r="F115">
        <v>4</v>
      </c>
      <c r="G115">
        <v>5</v>
      </c>
      <c r="H115">
        <v>6</v>
      </c>
      <c r="I115">
        <v>7</v>
      </c>
      <c r="J115">
        <v>8</v>
      </c>
      <c r="K115">
        <v>9</v>
      </c>
      <c r="L115">
        <v>10</v>
      </c>
      <c r="M115">
        <v>11</v>
      </c>
      <c r="N115">
        <v>12</v>
      </c>
      <c r="O115" t="s">
        <v>146</v>
      </c>
    </row>
    <row r="116" spans="1:66" x14ac:dyDescent="0.3">
      <c r="A116" s="199" t="s">
        <v>94</v>
      </c>
      <c r="B116" s="200"/>
      <c r="C116" s="41">
        <f>L9</f>
        <v>1041.3223140495868</v>
      </c>
      <c r="D116" s="41">
        <f>C116</f>
        <v>1041.3223140495868</v>
      </c>
      <c r="E116" s="41">
        <f t="shared" ref="E116:N116" si="46">D116</f>
        <v>1041.3223140495868</v>
      </c>
      <c r="F116" s="41">
        <f t="shared" si="46"/>
        <v>1041.3223140495868</v>
      </c>
      <c r="G116" s="41">
        <f t="shared" si="46"/>
        <v>1041.3223140495868</v>
      </c>
      <c r="H116" s="41">
        <f t="shared" si="46"/>
        <v>1041.3223140495868</v>
      </c>
      <c r="I116" s="41">
        <f t="shared" si="46"/>
        <v>1041.3223140495868</v>
      </c>
      <c r="J116" s="41">
        <f t="shared" si="46"/>
        <v>1041.3223140495868</v>
      </c>
      <c r="K116" s="41">
        <f t="shared" si="46"/>
        <v>1041.3223140495868</v>
      </c>
      <c r="L116" s="41">
        <f t="shared" si="46"/>
        <v>1041.3223140495868</v>
      </c>
      <c r="M116" s="41">
        <f t="shared" si="46"/>
        <v>1041.3223140495868</v>
      </c>
      <c r="N116" s="41">
        <f t="shared" si="46"/>
        <v>1041.3223140495868</v>
      </c>
    </row>
    <row r="117" spans="1:66" x14ac:dyDescent="0.3">
      <c r="A117" s="199" t="s">
        <v>95</v>
      </c>
      <c r="B117" s="200"/>
      <c r="H117">
        <f>Résultat!C11*0.21</f>
        <v>105</v>
      </c>
    </row>
    <row r="118" spans="1:66" x14ac:dyDescent="0.3">
      <c r="A118" s="199" t="s">
        <v>96</v>
      </c>
      <c r="B118" s="200"/>
      <c r="C118" s="41">
        <f>L33</f>
        <v>342.21249999999998</v>
      </c>
      <c r="D118" s="41">
        <f>C118</f>
        <v>342.21249999999998</v>
      </c>
      <c r="E118" s="41">
        <f t="shared" ref="E118:N118" si="47">D118</f>
        <v>342.21249999999998</v>
      </c>
      <c r="F118" s="41">
        <f t="shared" si="47"/>
        <v>342.21249999999998</v>
      </c>
      <c r="G118" s="41">
        <f t="shared" si="47"/>
        <v>342.21249999999998</v>
      </c>
      <c r="H118" s="41">
        <f t="shared" si="47"/>
        <v>342.21249999999998</v>
      </c>
      <c r="I118" s="41">
        <f t="shared" si="47"/>
        <v>342.21249999999998</v>
      </c>
      <c r="J118" s="41">
        <f t="shared" si="47"/>
        <v>342.21249999999998</v>
      </c>
      <c r="K118" s="41">
        <f t="shared" si="47"/>
        <v>342.21249999999998</v>
      </c>
      <c r="L118" s="41">
        <f t="shared" si="47"/>
        <v>342.21249999999998</v>
      </c>
      <c r="M118" s="41">
        <f t="shared" si="47"/>
        <v>342.21249999999998</v>
      </c>
      <c r="N118" s="41">
        <f t="shared" si="47"/>
        <v>342.21249999999998</v>
      </c>
    </row>
    <row r="119" spans="1:66" x14ac:dyDescent="0.3">
      <c r="A119" s="199" t="s">
        <v>97</v>
      </c>
      <c r="B119" s="200"/>
      <c r="C119" s="1"/>
    </row>
    <row r="120" spans="1:66" x14ac:dyDescent="0.3">
      <c r="A120" s="199" t="s">
        <v>99</v>
      </c>
      <c r="B120" s="200"/>
      <c r="C120" s="41">
        <f>C116-C118-C119-C117</f>
        <v>699.10981404958682</v>
      </c>
      <c r="D120" s="41">
        <f t="shared" ref="D120:N120" si="48">D116-D118-D119-D117</f>
        <v>699.10981404958682</v>
      </c>
      <c r="E120" s="41">
        <f t="shared" si="48"/>
        <v>699.10981404958682</v>
      </c>
      <c r="F120" s="41">
        <f t="shared" si="48"/>
        <v>699.10981404958682</v>
      </c>
      <c r="G120" s="41">
        <f t="shared" si="48"/>
        <v>699.10981404958682</v>
      </c>
      <c r="H120" s="41">
        <f t="shared" si="48"/>
        <v>594.10981404958682</v>
      </c>
      <c r="I120" s="41">
        <f t="shared" si="48"/>
        <v>699.10981404958682</v>
      </c>
      <c r="J120" s="41">
        <f t="shared" si="48"/>
        <v>699.10981404958682</v>
      </c>
      <c r="K120" s="41">
        <f t="shared" si="48"/>
        <v>699.10981404958682</v>
      </c>
      <c r="L120" s="41">
        <f t="shared" si="48"/>
        <v>699.10981404958682</v>
      </c>
      <c r="M120" s="41">
        <f t="shared" si="48"/>
        <v>699.10981404958682</v>
      </c>
      <c r="N120" s="41">
        <f t="shared" si="48"/>
        <v>699.10981404958682</v>
      </c>
    </row>
    <row r="121" spans="1:66" x14ac:dyDescent="0.3">
      <c r="A121" s="201" t="s">
        <v>98</v>
      </c>
      <c r="B121" s="202"/>
      <c r="C121" s="118"/>
      <c r="D121" s="118"/>
      <c r="E121" s="118"/>
      <c r="F121" s="119">
        <f>SUM(C120:E120)</f>
        <v>2097.3294421487603</v>
      </c>
      <c r="G121" s="118"/>
      <c r="H121" s="118"/>
      <c r="I121" s="119">
        <f>SUM(F120:H120)</f>
        <v>1992.3294421487603</v>
      </c>
      <c r="J121" s="118"/>
      <c r="K121" s="118"/>
      <c r="L121" s="119">
        <f>SUM(I120:K120)</f>
        <v>2097.3294421487603</v>
      </c>
      <c r="M121" s="118"/>
      <c r="N121" s="118"/>
      <c r="O121" s="119">
        <f>SUM(L120:N120)</f>
        <v>2097.3294421487603</v>
      </c>
    </row>
    <row r="122" spans="1:66" x14ac:dyDescent="0.3">
      <c r="C122" s="40"/>
    </row>
    <row r="123" spans="1:66" s="125" customFormat="1" x14ac:dyDescent="0.3">
      <c r="A123"/>
      <c r="B123"/>
      <c r="C123" s="111" t="s">
        <v>162</v>
      </c>
      <c r="D123" s="110"/>
      <c r="E123" s="110"/>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row>
    <row r="124" spans="1:66" s="125" customFormat="1" x14ac:dyDescent="0.3">
      <c r="A124"/>
      <c r="B124"/>
      <c r="C124">
        <v>1</v>
      </c>
      <c r="D124">
        <v>2</v>
      </c>
      <c r="E124">
        <v>3</v>
      </c>
      <c r="F124">
        <v>4</v>
      </c>
      <c r="G124">
        <v>5</v>
      </c>
      <c r="H124">
        <v>6</v>
      </c>
      <c r="I124">
        <v>7</v>
      </c>
      <c r="J124">
        <v>8</v>
      </c>
      <c r="K124">
        <v>9</v>
      </c>
      <c r="L124">
        <v>10</v>
      </c>
      <c r="M124">
        <v>11</v>
      </c>
      <c r="N124">
        <v>12</v>
      </c>
      <c r="O124" t="s">
        <v>146</v>
      </c>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row>
    <row r="125" spans="1:66" x14ac:dyDescent="0.3">
      <c r="A125" s="199" t="s">
        <v>94</v>
      </c>
      <c r="B125" s="200"/>
      <c r="C125" s="41">
        <f>T9</f>
        <v>1062.1487603305784</v>
      </c>
      <c r="D125" s="41">
        <f>C125</f>
        <v>1062.1487603305784</v>
      </c>
      <c r="E125" s="41">
        <f t="shared" ref="E125:N125" si="49">D125</f>
        <v>1062.1487603305784</v>
      </c>
      <c r="F125" s="41">
        <f t="shared" si="49"/>
        <v>1062.1487603305784</v>
      </c>
      <c r="G125" s="41">
        <f t="shared" si="49"/>
        <v>1062.1487603305784</v>
      </c>
      <c r="H125" s="41">
        <f t="shared" si="49"/>
        <v>1062.1487603305784</v>
      </c>
      <c r="I125" s="41">
        <f t="shared" si="49"/>
        <v>1062.1487603305784</v>
      </c>
      <c r="J125" s="41">
        <f t="shared" si="49"/>
        <v>1062.1487603305784</v>
      </c>
      <c r="K125" s="41">
        <f t="shared" si="49"/>
        <v>1062.1487603305784</v>
      </c>
      <c r="L125" s="41">
        <f t="shared" si="49"/>
        <v>1062.1487603305784</v>
      </c>
      <c r="M125" s="41">
        <f t="shared" si="49"/>
        <v>1062.1487603305784</v>
      </c>
      <c r="N125" s="41">
        <f t="shared" si="49"/>
        <v>1062.1487603305784</v>
      </c>
    </row>
    <row r="126" spans="1:66" x14ac:dyDescent="0.3">
      <c r="A126" s="199" t="s">
        <v>95</v>
      </c>
      <c r="B126" s="200"/>
      <c r="C126" s="1"/>
      <c r="H126">
        <f>Résultat!D11*0.21</f>
        <v>105</v>
      </c>
      <c r="K126" s="172">
        <f>K181-(K181/1.21)</f>
        <v>10381.633499999996</v>
      </c>
    </row>
    <row r="127" spans="1:66" s="125" customFormat="1" x14ac:dyDescent="0.3">
      <c r="A127" s="199" t="s">
        <v>96</v>
      </c>
      <c r="B127" s="200"/>
      <c r="C127" s="41">
        <f>T33</f>
        <v>375.89766666666668</v>
      </c>
      <c r="D127" s="41">
        <f>C127</f>
        <v>375.89766666666668</v>
      </c>
      <c r="E127" s="41">
        <f t="shared" ref="E127:N127" si="50">D127</f>
        <v>375.89766666666668</v>
      </c>
      <c r="F127" s="41">
        <f t="shared" si="50"/>
        <v>375.89766666666668</v>
      </c>
      <c r="G127" s="41">
        <f t="shared" si="50"/>
        <v>375.89766666666668</v>
      </c>
      <c r="H127" s="41">
        <f t="shared" si="50"/>
        <v>375.89766666666668</v>
      </c>
      <c r="I127" s="41">
        <f t="shared" si="50"/>
        <v>375.89766666666668</v>
      </c>
      <c r="J127" s="41">
        <f t="shared" si="50"/>
        <v>375.89766666666668</v>
      </c>
      <c r="K127" s="41">
        <f t="shared" si="50"/>
        <v>375.89766666666668</v>
      </c>
      <c r="L127" s="41">
        <f t="shared" si="50"/>
        <v>375.89766666666668</v>
      </c>
      <c r="M127" s="41">
        <f t="shared" si="50"/>
        <v>375.89766666666668</v>
      </c>
      <c r="N127" s="41">
        <f t="shared" si="50"/>
        <v>375.89766666666668</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row>
    <row r="128" spans="1:66" x14ac:dyDescent="0.3">
      <c r="A128" s="199" t="s">
        <v>97</v>
      </c>
      <c r="B128" s="200"/>
    </row>
    <row r="129" spans="1:66" x14ac:dyDescent="0.3">
      <c r="A129" s="199" t="s">
        <v>99</v>
      </c>
      <c r="B129" s="200"/>
      <c r="C129" s="41">
        <f>C125-C127-C126-C128</f>
        <v>686.25109366391166</v>
      </c>
      <c r="D129" s="41">
        <f t="shared" ref="D129:N129" si="51">D125-D127-D128-D126</f>
        <v>686.25109366391166</v>
      </c>
      <c r="E129" s="41">
        <f t="shared" si="51"/>
        <v>686.25109366391166</v>
      </c>
      <c r="F129" s="41">
        <f t="shared" si="51"/>
        <v>686.25109366391166</v>
      </c>
      <c r="G129" s="41">
        <f t="shared" si="51"/>
        <v>686.25109366391166</v>
      </c>
      <c r="H129" s="41">
        <f t="shared" si="51"/>
        <v>581.25109366391166</v>
      </c>
      <c r="I129" s="41">
        <f t="shared" si="51"/>
        <v>686.25109366391166</v>
      </c>
      <c r="J129" s="41">
        <f t="shared" si="51"/>
        <v>686.25109366391166</v>
      </c>
      <c r="K129" s="41">
        <f>K125-K127-K128-K126</f>
        <v>-9695.3824063360844</v>
      </c>
      <c r="L129" s="41">
        <f t="shared" si="51"/>
        <v>686.25109366391166</v>
      </c>
      <c r="M129" s="41">
        <f t="shared" si="51"/>
        <v>686.25109366391166</v>
      </c>
      <c r="N129" s="41">
        <f t="shared" si="51"/>
        <v>686.25109366391166</v>
      </c>
    </row>
    <row r="130" spans="1:66" x14ac:dyDescent="0.3">
      <c r="A130" s="201" t="s">
        <v>98</v>
      </c>
      <c r="B130" s="202"/>
      <c r="C130" s="118"/>
      <c r="D130" s="118"/>
      <c r="E130" s="118"/>
      <c r="F130" s="119">
        <f>SUM(C129:E129)</f>
        <v>2058.7532809917348</v>
      </c>
      <c r="G130" s="118"/>
      <c r="H130" s="118"/>
      <c r="I130" s="119">
        <f>SUM(F129:H129)</f>
        <v>1953.753280991735</v>
      </c>
      <c r="J130" s="118"/>
      <c r="K130" s="118"/>
      <c r="L130" s="119">
        <f>SUM(I129:K129)</f>
        <v>-8322.8802190082606</v>
      </c>
      <c r="M130" s="118"/>
      <c r="N130" s="118"/>
      <c r="O130" s="119">
        <f>SUM(L129:N129)</f>
        <v>2058.7532809917348</v>
      </c>
    </row>
    <row r="131" spans="1:66" x14ac:dyDescent="0.3">
      <c r="C131" s="40"/>
    </row>
    <row r="132" spans="1:66" x14ac:dyDescent="0.3">
      <c r="C132" s="40"/>
    </row>
    <row r="133" spans="1:66" x14ac:dyDescent="0.3">
      <c r="C133" s="40"/>
    </row>
    <row r="134" spans="1:66" x14ac:dyDescent="0.3">
      <c r="C134" s="40"/>
    </row>
    <row r="135" spans="1:66" x14ac:dyDescent="0.3">
      <c r="C135" s="40"/>
    </row>
    <row r="136" spans="1:66" s="125" customFormat="1" x14ac:dyDescent="0.3">
      <c r="A136"/>
      <c r="B136"/>
      <c r="C136"/>
      <c r="D136"/>
      <c r="E136"/>
      <c r="F136" t="s">
        <v>110</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row>
    <row r="137" spans="1:66" x14ac:dyDescent="0.3">
      <c r="A137" s="42" t="s">
        <v>111</v>
      </c>
      <c r="B137" s="42"/>
    </row>
    <row r="138" spans="1:66" x14ac:dyDescent="0.3">
      <c r="A138" s="121"/>
      <c r="B138" s="14"/>
      <c r="C138" s="14">
        <v>1</v>
      </c>
      <c r="D138" s="14">
        <v>2</v>
      </c>
      <c r="E138" s="14">
        <v>3</v>
      </c>
      <c r="F138" s="14">
        <v>4</v>
      </c>
      <c r="G138" s="14">
        <v>5</v>
      </c>
      <c r="H138" s="14">
        <v>6</v>
      </c>
      <c r="I138" s="14">
        <v>7</v>
      </c>
      <c r="J138" s="14">
        <v>8</v>
      </c>
      <c r="K138" s="14">
        <v>9</v>
      </c>
      <c r="L138" s="14">
        <v>10</v>
      </c>
      <c r="M138" s="14">
        <v>11</v>
      </c>
      <c r="N138" s="14">
        <v>12</v>
      </c>
      <c r="O138" s="14">
        <v>13</v>
      </c>
      <c r="P138" s="14">
        <v>14</v>
      </c>
      <c r="Q138" s="14">
        <v>15</v>
      </c>
      <c r="R138" s="14">
        <v>16</v>
      </c>
      <c r="S138" s="14">
        <v>17</v>
      </c>
      <c r="T138" s="14">
        <v>18</v>
      </c>
    </row>
    <row r="139" spans="1:66" x14ac:dyDescent="0.3">
      <c r="A139" s="203" t="s">
        <v>112</v>
      </c>
      <c r="B139" s="203"/>
      <c r="C139" s="123">
        <f>105000</f>
        <v>105000</v>
      </c>
      <c r="D139" s="124">
        <f>C152</f>
        <v>34082.036289137934</v>
      </c>
      <c r="E139" s="124">
        <f t="shared" ref="E139:O139" si="52">D152</f>
        <v>30606.90224494251</v>
      </c>
      <c r="F139" s="124">
        <f t="shared" si="52"/>
        <v>26386.258200747085</v>
      </c>
      <c r="G139" s="124">
        <f t="shared" si="52"/>
        <v>55103.137156551653</v>
      </c>
      <c r="H139" s="124">
        <f t="shared" si="52"/>
        <v>51628.003112356229</v>
      </c>
      <c r="I139" s="124">
        <f t="shared" si="52"/>
        <v>45802.359068160804</v>
      </c>
      <c r="J139" s="124">
        <f t="shared" si="52"/>
        <v>43479.337523965376</v>
      </c>
      <c r="K139" s="124">
        <f t="shared" si="52"/>
        <v>41204.203479769953</v>
      </c>
      <c r="L139" s="124">
        <f t="shared" si="52"/>
        <v>39383.559435574527</v>
      </c>
      <c r="M139" s="124">
        <f t="shared" si="52"/>
        <v>39305.951114519601</v>
      </c>
      <c r="N139" s="124">
        <f t="shared" si="52"/>
        <v>40630.817070324178</v>
      </c>
      <c r="O139" s="124">
        <f t="shared" si="52"/>
        <v>42410.173026128752</v>
      </c>
      <c r="P139" s="124">
        <f>O152</f>
        <v>43066.449002594483</v>
      </c>
      <c r="Q139" s="124">
        <f>P152</f>
        <v>45591.31495839906</v>
      </c>
      <c r="R139" s="124">
        <f>Q152</f>
        <v>47370.670914203634</v>
      </c>
      <c r="S139" s="124">
        <f>R152</f>
        <v>47818.68242785945</v>
      </c>
      <c r="T139" s="124">
        <f>S152</f>
        <v>50343.548383664027</v>
      </c>
      <c r="U139" s="125"/>
    </row>
    <row r="140" spans="1:66" x14ac:dyDescent="0.3">
      <c r="A140" s="204" t="s">
        <v>113</v>
      </c>
      <c r="B140" s="204"/>
      <c r="C140" s="123">
        <f>SUM(C141:C142)</f>
        <v>150000</v>
      </c>
      <c r="D140" s="123">
        <f t="shared" ref="D140:O140" si="53">SUM(D141:D142)</f>
        <v>0</v>
      </c>
      <c r="E140" s="123">
        <f t="shared" si="53"/>
        <v>0</v>
      </c>
      <c r="F140" s="123">
        <f t="shared" si="53"/>
        <v>0</v>
      </c>
      <c r="G140" s="123">
        <f t="shared" si="53"/>
        <v>0</v>
      </c>
      <c r="H140" s="123">
        <f t="shared" si="53"/>
        <v>0</v>
      </c>
      <c r="I140" s="123">
        <f t="shared" si="53"/>
        <v>0</v>
      </c>
      <c r="J140" s="123">
        <f t="shared" si="53"/>
        <v>1200</v>
      </c>
      <c r="K140" s="123">
        <f t="shared" si="53"/>
        <v>2400</v>
      </c>
      <c r="L140" s="123">
        <f t="shared" si="53"/>
        <v>3600</v>
      </c>
      <c r="M140" s="123">
        <f t="shared" si="53"/>
        <v>4800</v>
      </c>
      <c r="N140" s="123">
        <f t="shared" si="53"/>
        <v>6000</v>
      </c>
      <c r="O140" s="123">
        <f t="shared" si="53"/>
        <v>6000</v>
      </c>
      <c r="P140" s="123">
        <f>SUM(P141:P142)</f>
        <v>6000</v>
      </c>
      <c r="Q140" s="123">
        <f>SUM(Q141:Q142)</f>
        <v>6000</v>
      </c>
      <c r="R140" s="123">
        <f>SUM(R141:R142)</f>
        <v>6000</v>
      </c>
      <c r="S140" s="123">
        <f>SUM(S141:S142)</f>
        <v>6000</v>
      </c>
      <c r="T140" s="123">
        <f>SUM(T141:T142)</f>
        <v>6000</v>
      </c>
      <c r="U140" s="125"/>
    </row>
    <row r="141" spans="1:66" x14ac:dyDescent="0.3">
      <c r="A141" s="205" t="s">
        <v>114</v>
      </c>
      <c r="B141" s="205"/>
      <c r="J141" s="41">
        <f>G16</f>
        <v>1200</v>
      </c>
      <c r="K141" s="41">
        <f>G17</f>
        <v>2400</v>
      </c>
      <c r="L141" s="41">
        <f>G18</f>
        <v>3600</v>
      </c>
      <c r="M141" s="41">
        <f>G19</f>
        <v>4800</v>
      </c>
      <c r="N141" s="41">
        <f>G20</f>
        <v>6000</v>
      </c>
      <c r="O141" s="41">
        <f>N141</f>
        <v>6000</v>
      </c>
      <c r="P141" s="41">
        <f>O141</f>
        <v>6000</v>
      </c>
      <c r="Q141" s="41">
        <f t="shared" ref="Q141:T141" si="54">P141</f>
        <v>6000</v>
      </c>
      <c r="R141" s="41">
        <f t="shared" si="54"/>
        <v>6000</v>
      </c>
      <c r="S141" s="41">
        <f t="shared" si="54"/>
        <v>6000</v>
      </c>
      <c r="T141" s="41">
        <f t="shared" si="54"/>
        <v>6000</v>
      </c>
    </row>
    <row r="142" spans="1:66" x14ac:dyDescent="0.3">
      <c r="A142" s="205" t="s">
        <v>115</v>
      </c>
      <c r="B142" s="205"/>
      <c r="C142">
        <f>150000</f>
        <v>150000</v>
      </c>
    </row>
    <row r="143" spans="1:66" x14ac:dyDescent="0.3">
      <c r="A143" s="204" t="s">
        <v>116</v>
      </c>
      <c r="B143" s="204"/>
      <c r="C143" s="123">
        <f>SUM(C144:C151)</f>
        <v>220917.96371086207</v>
      </c>
      <c r="D143" s="123">
        <f t="shared" ref="D143:O143" si="55">SUM(D144:D151)</f>
        <v>3475.1340441954248</v>
      </c>
      <c r="E143" s="123">
        <f t="shared" si="55"/>
        <v>4220.6440441954255</v>
      </c>
      <c r="F143" s="123">
        <f t="shared" si="55"/>
        <v>-28716.878955804568</v>
      </c>
      <c r="G143" s="123">
        <f t="shared" si="55"/>
        <v>3475.1340441954248</v>
      </c>
      <c r="H143" s="123">
        <f t="shared" si="55"/>
        <v>5825.6440441954255</v>
      </c>
      <c r="I143" s="123">
        <f t="shared" si="55"/>
        <v>2323.0215441954251</v>
      </c>
      <c r="J143" s="123">
        <f t="shared" si="55"/>
        <v>3475.1340441954248</v>
      </c>
      <c r="K143" s="123">
        <f t="shared" si="55"/>
        <v>4220.6440441954255</v>
      </c>
      <c r="L143" s="123">
        <f t="shared" si="55"/>
        <v>3677.6083210549291</v>
      </c>
      <c r="M143" s="123">
        <f t="shared" si="55"/>
        <v>3475.1340441954248</v>
      </c>
      <c r="N143" s="123">
        <f t="shared" si="55"/>
        <v>4220.6440441954255</v>
      </c>
      <c r="O143" s="123">
        <f t="shared" si="55"/>
        <v>5343.7240235342679</v>
      </c>
      <c r="P143" s="123">
        <f>SUM(P144:P151)</f>
        <v>3475.1340441954248</v>
      </c>
      <c r="Q143" s="123">
        <f>SUM(Q144:Q151)</f>
        <v>4220.6440441954255</v>
      </c>
      <c r="R143" s="123">
        <f>SUM(R144:R151)</f>
        <v>5551.9884863441857</v>
      </c>
      <c r="S143" s="123">
        <f>SUM(S144:S151)</f>
        <v>3475.1340441954248</v>
      </c>
      <c r="T143" s="123">
        <f>SUM(T144:T151)</f>
        <v>4220.6440441954255</v>
      </c>
      <c r="U143" s="125"/>
    </row>
    <row r="144" spans="1:66" x14ac:dyDescent="0.3">
      <c r="A144" s="205" t="s">
        <v>117</v>
      </c>
      <c r="B144" s="205"/>
      <c r="H144">
        <f>Résultat!B11*1.21</f>
        <v>605</v>
      </c>
    </row>
    <row r="145" spans="1:21" x14ac:dyDescent="0.3">
      <c r="A145" s="205" t="s">
        <v>118</v>
      </c>
      <c r="B145" s="205"/>
      <c r="D145" s="41">
        <f>G34</f>
        <v>2011.1208333333332</v>
      </c>
      <c r="E145" s="41">
        <f>D145</f>
        <v>2011.1208333333332</v>
      </c>
      <c r="F145" s="41">
        <f t="shared" ref="F145:O145" si="56">E145</f>
        <v>2011.1208333333332</v>
      </c>
      <c r="G145" s="41">
        <f t="shared" si="56"/>
        <v>2011.1208333333332</v>
      </c>
      <c r="H145" s="41">
        <f t="shared" si="56"/>
        <v>2011.1208333333332</v>
      </c>
      <c r="I145" s="41">
        <f t="shared" si="56"/>
        <v>2011.1208333333332</v>
      </c>
      <c r="J145" s="41">
        <f t="shared" si="56"/>
        <v>2011.1208333333332</v>
      </c>
      <c r="K145" s="41">
        <f t="shared" si="56"/>
        <v>2011.1208333333332</v>
      </c>
      <c r="L145" s="41">
        <f t="shared" si="56"/>
        <v>2011.1208333333332</v>
      </c>
      <c r="M145" s="41">
        <f t="shared" si="56"/>
        <v>2011.1208333333332</v>
      </c>
      <c r="N145" s="41">
        <f t="shared" si="56"/>
        <v>2011.1208333333332</v>
      </c>
      <c r="O145" s="41">
        <f t="shared" si="56"/>
        <v>2011.1208333333332</v>
      </c>
      <c r="P145" s="41">
        <f t="shared" ref="P145:T146" si="57">O145</f>
        <v>2011.1208333333332</v>
      </c>
      <c r="Q145" s="41">
        <f t="shared" si="57"/>
        <v>2011.1208333333332</v>
      </c>
      <c r="R145" s="41">
        <f t="shared" si="57"/>
        <v>2011.1208333333332</v>
      </c>
      <c r="S145" s="41">
        <f t="shared" si="57"/>
        <v>2011.1208333333332</v>
      </c>
      <c r="T145" s="41">
        <f t="shared" si="57"/>
        <v>2011.1208333333332</v>
      </c>
    </row>
    <row r="146" spans="1:21" x14ac:dyDescent="0.3">
      <c r="A146" s="205" t="s">
        <v>119</v>
      </c>
      <c r="B146" s="205"/>
      <c r="C146" s="40">
        <f>D146</f>
        <v>500</v>
      </c>
      <c r="D146" s="40">
        <f>G59</f>
        <v>500</v>
      </c>
      <c r="E146" s="40">
        <f>D146</f>
        <v>500</v>
      </c>
      <c r="F146" s="40">
        <f t="shared" ref="F146:O146" si="58">E146</f>
        <v>500</v>
      </c>
      <c r="G146" s="40">
        <f t="shared" si="58"/>
        <v>500</v>
      </c>
      <c r="H146" s="40">
        <f t="shared" si="58"/>
        <v>500</v>
      </c>
      <c r="I146" s="40">
        <f t="shared" si="58"/>
        <v>500</v>
      </c>
      <c r="J146" s="40">
        <f t="shared" si="58"/>
        <v>500</v>
      </c>
      <c r="K146" s="40">
        <f t="shared" si="58"/>
        <v>500</v>
      </c>
      <c r="L146" s="40">
        <f t="shared" si="58"/>
        <v>500</v>
      </c>
      <c r="M146" s="40">
        <f t="shared" si="58"/>
        <v>500</v>
      </c>
      <c r="N146" s="40">
        <f t="shared" si="58"/>
        <v>500</v>
      </c>
      <c r="O146" s="40">
        <f t="shared" si="58"/>
        <v>500</v>
      </c>
      <c r="P146" s="40">
        <f t="shared" si="57"/>
        <v>500</v>
      </c>
      <c r="Q146" s="40">
        <f t="shared" si="57"/>
        <v>500</v>
      </c>
      <c r="R146" s="40">
        <f t="shared" si="57"/>
        <v>500</v>
      </c>
      <c r="S146" s="40">
        <f t="shared" si="57"/>
        <v>500</v>
      </c>
      <c r="T146" s="40">
        <f t="shared" si="57"/>
        <v>500</v>
      </c>
    </row>
    <row r="147" spans="1:21" x14ac:dyDescent="0.3">
      <c r="A147" s="205" t="s">
        <v>120</v>
      </c>
      <c r="B147" s="205"/>
      <c r="C147" s="40"/>
      <c r="D147" s="40"/>
      <c r="E147" s="40">
        <f>H60</f>
        <v>745.51</v>
      </c>
      <c r="F147" s="40"/>
      <c r="G147" s="40"/>
      <c r="H147" s="40">
        <f>H63</f>
        <v>745.51</v>
      </c>
      <c r="I147" s="40"/>
      <c r="J147" s="40"/>
      <c r="K147" s="40">
        <f>H66</f>
        <v>745.51</v>
      </c>
      <c r="L147" s="40"/>
      <c r="M147" s="40"/>
      <c r="N147" s="40">
        <f>H69</f>
        <v>745.51</v>
      </c>
      <c r="O147" s="40"/>
      <c r="P147" s="40"/>
      <c r="Q147" s="40">
        <f>H72</f>
        <v>745.51</v>
      </c>
      <c r="R147" s="40"/>
      <c r="S147" s="40"/>
      <c r="T147" s="40">
        <f>H75</f>
        <v>745.51</v>
      </c>
    </row>
    <row r="148" spans="1:21" x14ac:dyDescent="0.3">
      <c r="A148" s="205" t="s">
        <v>121</v>
      </c>
      <c r="B148" s="205"/>
      <c r="C148" s="41">
        <f>C81+D81</f>
        <v>964.01321086209146</v>
      </c>
      <c r="D148" s="41">
        <f>C82+D82</f>
        <v>964.01321086209146</v>
      </c>
      <c r="E148" s="41">
        <f>C83+D83</f>
        <v>964.01321086209146</v>
      </c>
      <c r="F148" s="41">
        <f>C84+D84</f>
        <v>964.01321086209146</v>
      </c>
      <c r="G148" s="41">
        <f>C85+D85</f>
        <v>964.01321086209146</v>
      </c>
      <c r="H148" s="41">
        <f>C86+D86</f>
        <v>964.01321086209146</v>
      </c>
      <c r="I148" s="41">
        <f>C87+D87</f>
        <v>964.01321086209146</v>
      </c>
      <c r="J148" s="41">
        <f>C88+D88</f>
        <v>964.01321086209146</v>
      </c>
      <c r="K148" s="41">
        <f>C89+D89</f>
        <v>964.01321086209146</v>
      </c>
      <c r="L148" s="41">
        <f>C90+D90</f>
        <v>964.01321086209146</v>
      </c>
      <c r="M148" s="41">
        <f>C91+D91</f>
        <v>964.01321086209146</v>
      </c>
      <c r="N148" s="41">
        <f>C92+D92</f>
        <v>964.01321086209146</v>
      </c>
      <c r="O148" s="41">
        <f>C93+D93</f>
        <v>964.01321086209146</v>
      </c>
      <c r="P148" s="41">
        <f>C94+D94</f>
        <v>964.01321086209146</v>
      </c>
      <c r="Q148" s="41">
        <f>C95+D95</f>
        <v>964.01321086209146</v>
      </c>
      <c r="R148" s="41">
        <f>C96+D96</f>
        <v>964.01321086209146</v>
      </c>
      <c r="S148" s="41">
        <f>C97+D97</f>
        <v>964.01321086209146</v>
      </c>
      <c r="T148" s="41">
        <f>C98+D98</f>
        <v>964.01321086209146</v>
      </c>
    </row>
    <row r="149" spans="1:21" x14ac:dyDescent="0.3">
      <c r="A149" s="205" t="s">
        <v>144</v>
      </c>
      <c r="B149" s="205"/>
      <c r="C149" s="41">
        <f>(SUM('Invest initial'!E3:E9)*1.21)+'Invest initial'!E10</f>
        <v>219453.95049999998</v>
      </c>
      <c r="D149" s="41"/>
      <c r="E149" s="41"/>
      <c r="F149" s="41"/>
      <c r="G149" s="41"/>
      <c r="H149" s="41"/>
      <c r="I149" s="41"/>
      <c r="J149" s="41"/>
      <c r="K149" s="41"/>
      <c r="L149" s="41"/>
      <c r="M149" s="41"/>
      <c r="N149" s="41"/>
      <c r="O149" s="41"/>
      <c r="P149" s="41"/>
      <c r="Q149" s="41"/>
      <c r="R149" s="41"/>
      <c r="S149" s="41"/>
      <c r="T149" s="41"/>
    </row>
    <row r="150" spans="1:21" x14ac:dyDescent="0.3">
      <c r="A150" s="205" t="s">
        <v>122</v>
      </c>
      <c r="B150" s="205"/>
      <c r="F150" s="41">
        <f>F111</f>
        <v>-32192.012999999992</v>
      </c>
      <c r="I150" s="41">
        <f t="shared" ref="I150:T150" si="59">I111</f>
        <v>-1152.1125</v>
      </c>
      <c r="J150" s="41">
        <f t="shared" si="59"/>
        <v>0</v>
      </c>
      <c r="K150" s="41">
        <f t="shared" si="59"/>
        <v>0</v>
      </c>
      <c r="L150" s="41">
        <f t="shared" si="59"/>
        <v>202.47427685950424</v>
      </c>
      <c r="M150" s="41">
        <f t="shared" si="59"/>
        <v>0</v>
      </c>
      <c r="N150" s="41">
        <f t="shared" si="59"/>
        <v>0</v>
      </c>
      <c r="O150" s="41">
        <f t="shared" si="59"/>
        <v>1868.5899793388432</v>
      </c>
      <c r="P150" s="41">
        <f t="shared" si="59"/>
        <v>0</v>
      </c>
      <c r="Q150" s="41">
        <f t="shared" si="59"/>
        <v>0</v>
      </c>
      <c r="R150" s="41">
        <f t="shared" si="59"/>
        <v>2076.8544421487604</v>
      </c>
      <c r="S150" s="41">
        <f t="shared" si="59"/>
        <v>0</v>
      </c>
      <c r="T150" s="41">
        <f t="shared" si="59"/>
        <v>0</v>
      </c>
    </row>
    <row r="151" spans="1:21" x14ac:dyDescent="0.3">
      <c r="A151" s="205" t="s">
        <v>123</v>
      </c>
      <c r="B151" s="205"/>
      <c r="H151">
        <f>Résultat!B33</f>
        <v>1000</v>
      </c>
    </row>
    <row r="152" spans="1:21" x14ac:dyDescent="0.3">
      <c r="A152" s="204" t="s">
        <v>124</v>
      </c>
      <c r="B152" s="204"/>
      <c r="C152" s="124">
        <f>C139+C140-C143</f>
        <v>34082.036289137934</v>
      </c>
      <c r="D152" s="124">
        <f t="shared" ref="D152:O152" si="60">D139+D140-D143</f>
        <v>30606.90224494251</v>
      </c>
      <c r="E152" s="124">
        <f t="shared" si="60"/>
        <v>26386.258200747085</v>
      </c>
      <c r="F152" s="124">
        <f>F139+F140-F143</f>
        <v>55103.137156551653</v>
      </c>
      <c r="G152" s="124">
        <f t="shared" si="60"/>
        <v>51628.003112356229</v>
      </c>
      <c r="H152" s="124">
        <f t="shared" si="60"/>
        <v>45802.359068160804</v>
      </c>
      <c r="I152" s="124">
        <f t="shared" si="60"/>
        <v>43479.337523965376</v>
      </c>
      <c r="J152" s="124">
        <f t="shared" si="60"/>
        <v>41204.203479769953</v>
      </c>
      <c r="K152" s="124">
        <f t="shared" si="60"/>
        <v>39383.559435574527</v>
      </c>
      <c r="L152" s="124">
        <f t="shared" si="60"/>
        <v>39305.951114519601</v>
      </c>
      <c r="M152" s="124">
        <f t="shared" si="60"/>
        <v>40630.817070324178</v>
      </c>
      <c r="N152" s="124">
        <f t="shared" si="60"/>
        <v>42410.173026128752</v>
      </c>
      <c r="O152" s="124">
        <f t="shared" si="60"/>
        <v>43066.449002594483</v>
      </c>
      <c r="P152" s="124">
        <f>P139+P140-P143</f>
        <v>45591.31495839906</v>
      </c>
      <c r="Q152" s="124">
        <f>Q139+Q140-Q143</f>
        <v>47370.670914203634</v>
      </c>
      <c r="R152" s="124">
        <f>R139+R140-R143</f>
        <v>47818.68242785945</v>
      </c>
      <c r="S152" s="124">
        <f>S139+S140-S143</f>
        <v>50343.548383664027</v>
      </c>
      <c r="T152" s="124">
        <f>T139+T140-T143</f>
        <v>52122.904339468601</v>
      </c>
      <c r="U152" s="125"/>
    </row>
    <row r="153" spans="1:21" x14ac:dyDescent="0.3">
      <c r="A153" s="113"/>
      <c r="B153" s="112"/>
    </row>
    <row r="155" spans="1:21" x14ac:dyDescent="0.3">
      <c r="A155" s="42" t="s">
        <v>160</v>
      </c>
      <c r="B155" s="42"/>
    </row>
    <row r="156" spans="1:21" x14ac:dyDescent="0.3">
      <c r="A156" s="121"/>
      <c r="B156" s="14"/>
      <c r="C156" s="14">
        <v>1</v>
      </c>
      <c r="D156" s="14">
        <v>2</v>
      </c>
      <c r="E156" s="14">
        <v>3</v>
      </c>
      <c r="F156" s="14">
        <v>4</v>
      </c>
      <c r="G156" s="14">
        <v>5</v>
      </c>
      <c r="H156" s="14">
        <v>6</v>
      </c>
      <c r="I156" s="14">
        <v>7</v>
      </c>
      <c r="J156" s="14">
        <v>8</v>
      </c>
      <c r="K156" s="14">
        <v>9</v>
      </c>
      <c r="L156" s="14">
        <v>10</v>
      </c>
      <c r="M156" s="14">
        <v>11</v>
      </c>
      <c r="N156" s="14">
        <v>12</v>
      </c>
    </row>
    <row r="157" spans="1:21" x14ac:dyDescent="0.3">
      <c r="A157" s="122" t="s">
        <v>112</v>
      </c>
      <c r="B157" s="197"/>
      <c r="C157" s="123">
        <f>T152</f>
        <v>52122.904339468601</v>
      </c>
      <c r="D157" s="124">
        <f>C170</f>
        <v>51904.249186457746</v>
      </c>
      <c r="E157" s="124">
        <f t="shared" ref="E157" si="61">D170</f>
        <v>53801.773475595655</v>
      </c>
      <c r="F157" s="124">
        <f t="shared" ref="F157" si="62">E170</f>
        <v>54953.787764733563</v>
      </c>
      <c r="G157" s="124">
        <f t="shared" ref="G157" si="63">F170</f>
        <v>54753.982611722713</v>
      </c>
      <c r="H157" s="124">
        <f t="shared" ref="H157" si="64">G170</f>
        <v>56651.506900860622</v>
      </c>
      <c r="I157" s="124">
        <f t="shared" ref="I157" si="65">H170</f>
        <v>56198.52118999853</v>
      </c>
      <c r="J157" s="124">
        <f t="shared" ref="J157" si="66">I170</f>
        <v>56103.71603698768</v>
      </c>
      <c r="K157" s="124">
        <f t="shared" ref="K157" si="67">J170</f>
        <v>58001.240326125589</v>
      </c>
      <c r="L157" s="124">
        <f t="shared" ref="L157" si="68">K170</f>
        <v>59153.254615263497</v>
      </c>
      <c r="M157" s="124">
        <f t="shared" ref="M157" si="69">L170</f>
        <v>58953.449462252647</v>
      </c>
      <c r="N157" s="124">
        <f t="shared" ref="N157" si="70">M170</f>
        <v>60850.973751390557</v>
      </c>
    </row>
    <row r="158" spans="1:21" x14ac:dyDescent="0.3">
      <c r="A158" s="126" t="s">
        <v>113</v>
      </c>
      <c r="B158" s="198"/>
      <c r="C158" s="123">
        <f>SUM(C159:C160)</f>
        <v>6000</v>
      </c>
      <c r="D158" s="123">
        <f t="shared" ref="D158:N158" si="71">SUM(D159:D160)</f>
        <v>6000</v>
      </c>
      <c r="E158" s="123">
        <f t="shared" si="71"/>
        <v>6000</v>
      </c>
      <c r="F158" s="123">
        <f t="shared" si="71"/>
        <v>6000</v>
      </c>
      <c r="G158" s="123">
        <f t="shared" si="71"/>
        <v>6000</v>
      </c>
      <c r="H158" s="123">
        <f t="shared" si="71"/>
        <v>6000</v>
      </c>
      <c r="I158" s="123">
        <f t="shared" si="71"/>
        <v>6000</v>
      </c>
      <c r="J158" s="123">
        <f t="shared" si="71"/>
        <v>6000</v>
      </c>
      <c r="K158" s="123">
        <f t="shared" si="71"/>
        <v>6000</v>
      </c>
      <c r="L158" s="123">
        <f t="shared" si="71"/>
        <v>6000</v>
      </c>
      <c r="M158" s="123">
        <f t="shared" si="71"/>
        <v>6000</v>
      </c>
      <c r="N158" s="123">
        <f t="shared" si="71"/>
        <v>6000</v>
      </c>
    </row>
    <row r="159" spans="1:21" x14ac:dyDescent="0.3">
      <c r="A159" s="113" t="s">
        <v>114</v>
      </c>
      <c r="B159" s="112"/>
      <c r="C159" s="41">
        <f>G27</f>
        <v>6000</v>
      </c>
      <c r="D159" s="41">
        <f>O10</f>
        <v>6000</v>
      </c>
      <c r="E159" s="41">
        <f>D159</f>
        <v>6000</v>
      </c>
      <c r="F159" s="41">
        <f t="shared" ref="F159:N159" si="72">E159</f>
        <v>6000</v>
      </c>
      <c r="G159" s="41">
        <f t="shared" si="72"/>
        <v>6000</v>
      </c>
      <c r="H159" s="41">
        <f t="shared" si="72"/>
        <v>6000</v>
      </c>
      <c r="I159" s="41">
        <f t="shared" si="72"/>
        <v>6000</v>
      </c>
      <c r="J159" s="41">
        <f t="shared" si="72"/>
        <v>6000</v>
      </c>
      <c r="K159" s="41">
        <f t="shared" si="72"/>
        <v>6000</v>
      </c>
      <c r="L159" s="41">
        <f t="shared" si="72"/>
        <v>6000</v>
      </c>
      <c r="M159" s="41">
        <f t="shared" si="72"/>
        <v>6000</v>
      </c>
      <c r="N159" s="41">
        <f t="shared" si="72"/>
        <v>6000</v>
      </c>
    </row>
    <row r="160" spans="1:21" x14ac:dyDescent="0.3">
      <c r="A160" s="113" t="s">
        <v>115</v>
      </c>
      <c r="B160" s="112"/>
    </row>
    <row r="161" spans="1:14" x14ac:dyDescent="0.3">
      <c r="A161" s="126" t="s">
        <v>116</v>
      </c>
      <c r="B161" s="198"/>
      <c r="C161" s="123">
        <f>SUM(C162:C169)</f>
        <v>6218.6551530108518</v>
      </c>
      <c r="D161" s="123">
        <f t="shared" ref="D161:N161" si="73">SUM(D162:D169)</f>
        <v>4102.4757108620906</v>
      </c>
      <c r="E161" s="123">
        <f t="shared" si="73"/>
        <v>4847.9857108620909</v>
      </c>
      <c r="F161" s="123">
        <f t="shared" si="73"/>
        <v>6199.8051530108514</v>
      </c>
      <c r="G161" s="123">
        <f t="shared" si="73"/>
        <v>4102.4757108620906</v>
      </c>
      <c r="H161" s="123">
        <f t="shared" si="73"/>
        <v>6452.9857108620909</v>
      </c>
      <c r="I161" s="123">
        <f t="shared" si="73"/>
        <v>6094.8051530108514</v>
      </c>
      <c r="J161" s="123">
        <f t="shared" si="73"/>
        <v>4102.4757108620906</v>
      </c>
      <c r="K161" s="123">
        <f t="shared" si="73"/>
        <v>4847.9857108620909</v>
      </c>
      <c r="L161" s="123">
        <f t="shared" si="73"/>
        <v>6199.8051530108514</v>
      </c>
      <c r="M161" s="123">
        <f t="shared" si="73"/>
        <v>4102.4757108620906</v>
      </c>
      <c r="N161" s="123">
        <f t="shared" si="73"/>
        <v>4847.9857108620909</v>
      </c>
    </row>
    <row r="162" spans="1:14" x14ac:dyDescent="0.3">
      <c r="A162" s="113" t="s">
        <v>117</v>
      </c>
      <c r="B162" s="112"/>
      <c r="H162">
        <f>Résultat!C11*1.21</f>
        <v>605</v>
      </c>
    </row>
    <row r="163" spans="1:14" x14ac:dyDescent="0.3">
      <c r="A163" s="113" t="s">
        <v>118</v>
      </c>
      <c r="B163" s="112"/>
      <c r="C163" s="41">
        <f>G51</f>
        <v>2011.1208333333332</v>
      </c>
      <c r="D163" s="41">
        <f>O34</f>
        <v>1971.7958333333331</v>
      </c>
      <c r="E163" s="41">
        <f>D163</f>
        <v>1971.7958333333331</v>
      </c>
      <c r="F163" s="41">
        <f t="shared" ref="F163:F164" si="74">E163</f>
        <v>1971.7958333333331</v>
      </c>
      <c r="G163" s="41">
        <f t="shared" ref="G163:G164" si="75">F163</f>
        <v>1971.7958333333331</v>
      </c>
      <c r="H163" s="41">
        <f t="shared" ref="H163:H164" si="76">G163</f>
        <v>1971.7958333333331</v>
      </c>
      <c r="I163" s="41">
        <f t="shared" ref="I163:I164" si="77">H163</f>
        <v>1971.7958333333331</v>
      </c>
      <c r="J163" s="41">
        <f t="shared" ref="J163:J164" si="78">I163</f>
        <v>1971.7958333333331</v>
      </c>
      <c r="K163" s="41">
        <f t="shared" ref="K163:K164" si="79">J163</f>
        <v>1971.7958333333331</v>
      </c>
      <c r="L163" s="41">
        <f t="shared" ref="L163:L164" si="80">K163</f>
        <v>1971.7958333333331</v>
      </c>
      <c r="M163" s="41">
        <f t="shared" ref="M163:M164" si="81">L163</f>
        <v>1971.7958333333331</v>
      </c>
      <c r="N163" s="41">
        <f t="shared" ref="N163:N164" si="82">M163</f>
        <v>1971.7958333333331</v>
      </c>
    </row>
    <row r="164" spans="1:14" x14ac:dyDescent="0.3">
      <c r="A164" s="113" t="s">
        <v>119</v>
      </c>
      <c r="B164" s="112"/>
      <c r="C164" s="40">
        <f>M58</f>
        <v>1166.6666666666667</v>
      </c>
      <c r="D164" s="40">
        <f>C164</f>
        <v>1166.6666666666667</v>
      </c>
      <c r="E164" s="40">
        <f>D164</f>
        <v>1166.6666666666667</v>
      </c>
      <c r="F164" s="40">
        <f t="shared" si="74"/>
        <v>1166.6666666666667</v>
      </c>
      <c r="G164" s="40">
        <f t="shared" si="75"/>
        <v>1166.6666666666667</v>
      </c>
      <c r="H164" s="40">
        <f t="shared" si="76"/>
        <v>1166.6666666666667</v>
      </c>
      <c r="I164" s="40">
        <f t="shared" si="77"/>
        <v>1166.6666666666667</v>
      </c>
      <c r="J164" s="40">
        <f t="shared" si="78"/>
        <v>1166.6666666666667</v>
      </c>
      <c r="K164" s="40">
        <f t="shared" si="79"/>
        <v>1166.6666666666667</v>
      </c>
      <c r="L164" s="40">
        <f t="shared" si="80"/>
        <v>1166.6666666666667</v>
      </c>
      <c r="M164" s="40">
        <f t="shared" si="81"/>
        <v>1166.6666666666667</v>
      </c>
      <c r="N164" s="40">
        <f t="shared" si="82"/>
        <v>1166.6666666666667</v>
      </c>
    </row>
    <row r="165" spans="1:14" x14ac:dyDescent="0.3">
      <c r="A165" s="113" t="s">
        <v>120</v>
      </c>
      <c r="B165" s="112"/>
      <c r="C165" s="40"/>
      <c r="D165" s="40"/>
      <c r="E165" s="40">
        <f>L60</f>
        <v>745.51</v>
      </c>
      <c r="F165" s="40"/>
      <c r="G165" s="40"/>
      <c r="H165" s="40">
        <f>E165</f>
        <v>745.51</v>
      </c>
      <c r="I165" s="40"/>
      <c r="J165" s="40"/>
      <c r="K165" s="40">
        <f>H165</f>
        <v>745.51</v>
      </c>
      <c r="L165" s="40"/>
      <c r="M165" s="40"/>
      <c r="N165" s="40">
        <f>K165</f>
        <v>745.51</v>
      </c>
    </row>
    <row r="166" spans="1:14" x14ac:dyDescent="0.3">
      <c r="A166" s="113" t="s">
        <v>121</v>
      </c>
      <c r="B166" s="112"/>
      <c r="C166" s="41">
        <f>K81+L81</f>
        <v>964.01321086209146</v>
      </c>
      <c r="D166" s="41">
        <f>C166</f>
        <v>964.01321086209146</v>
      </c>
      <c r="E166" s="41">
        <f t="shared" ref="E166:N166" si="83">D166</f>
        <v>964.01321086209146</v>
      </c>
      <c r="F166" s="41">
        <f t="shared" si="83"/>
        <v>964.01321086209146</v>
      </c>
      <c r="G166" s="41">
        <f t="shared" si="83"/>
        <v>964.01321086209146</v>
      </c>
      <c r="H166" s="41">
        <f t="shared" si="83"/>
        <v>964.01321086209146</v>
      </c>
      <c r="I166" s="41">
        <f t="shared" si="83"/>
        <v>964.01321086209146</v>
      </c>
      <c r="J166" s="41">
        <f t="shared" si="83"/>
        <v>964.01321086209146</v>
      </c>
      <c r="K166" s="41">
        <f t="shared" si="83"/>
        <v>964.01321086209146</v>
      </c>
      <c r="L166" s="41">
        <f t="shared" si="83"/>
        <v>964.01321086209146</v>
      </c>
      <c r="M166" s="41">
        <f t="shared" si="83"/>
        <v>964.01321086209146</v>
      </c>
      <c r="N166" s="41">
        <f t="shared" si="83"/>
        <v>964.01321086209146</v>
      </c>
    </row>
    <row r="167" spans="1:14" x14ac:dyDescent="0.3">
      <c r="A167" s="113" t="s">
        <v>144</v>
      </c>
      <c r="B167" s="112"/>
      <c r="C167" s="41"/>
      <c r="D167" s="41"/>
      <c r="E167" s="41"/>
      <c r="F167" s="41"/>
      <c r="G167" s="41"/>
      <c r="H167" s="41"/>
      <c r="I167" s="41"/>
      <c r="J167" s="41"/>
      <c r="K167" s="41"/>
      <c r="L167" s="41"/>
      <c r="M167" s="41"/>
      <c r="N167" s="41"/>
    </row>
    <row r="168" spans="1:14" x14ac:dyDescent="0.3">
      <c r="A168" s="113" t="s">
        <v>122</v>
      </c>
      <c r="B168" s="112"/>
      <c r="C168" s="41">
        <f>U111</f>
        <v>2076.8544421487604</v>
      </c>
      <c r="F168" s="41">
        <f>F121</f>
        <v>2097.3294421487603</v>
      </c>
      <c r="I168" s="41">
        <f>I121</f>
        <v>1992.3294421487603</v>
      </c>
      <c r="J168" s="41">
        <f>J137</f>
        <v>0</v>
      </c>
      <c r="K168" s="41">
        <f>K137</f>
        <v>0</v>
      </c>
      <c r="L168" s="41">
        <f>L121</f>
        <v>2097.3294421487603</v>
      </c>
      <c r="M168" s="41">
        <f>M137</f>
        <v>0</v>
      </c>
      <c r="N168" s="41">
        <f>N137</f>
        <v>0</v>
      </c>
    </row>
    <row r="169" spans="1:14" x14ac:dyDescent="0.3">
      <c r="A169" s="113" t="s">
        <v>123</v>
      </c>
      <c r="B169" s="112"/>
      <c r="H169">
        <f>Résultat!C33</f>
        <v>1000</v>
      </c>
    </row>
    <row r="170" spans="1:14" x14ac:dyDescent="0.3">
      <c r="A170" s="126" t="s">
        <v>124</v>
      </c>
      <c r="B170" s="198"/>
      <c r="C170" s="124">
        <f>C157+C158-C161</f>
        <v>51904.249186457746</v>
      </c>
      <c r="D170" s="124">
        <f t="shared" ref="D170:E170" si="84">D157+D158-D161</f>
        <v>53801.773475595655</v>
      </c>
      <c r="E170" s="124">
        <f t="shared" si="84"/>
        <v>54953.787764733563</v>
      </c>
      <c r="F170" s="124">
        <f>F157+F158-F161</f>
        <v>54753.982611722713</v>
      </c>
      <c r="G170" s="124">
        <f t="shared" ref="G170:N170" si="85">G157+G158-G161</f>
        <v>56651.506900860622</v>
      </c>
      <c r="H170" s="124">
        <f t="shared" si="85"/>
        <v>56198.52118999853</v>
      </c>
      <c r="I170" s="124">
        <f t="shared" si="85"/>
        <v>56103.71603698768</v>
      </c>
      <c r="J170" s="124">
        <f t="shared" si="85"/>
        <v>58001.240326125589</v>
      </c>
      <c r="K170" s="124">
        <f t="shared" si="85"/>
        <v>59153.254615263497</v>
      </c>
      <c r="L170" s="124">
        <f t="shared" si="85"/>
        <v>58953.449462252647</v>
      </c>
      <c r="M170" s="124">
        <f t="shared" si="85"/>
        <v>60850.973751390557</v>
      </c>
      <c r="N170" s="124">
        <f t="shared" si="85"/>
        <v>62002.988040528464</v>
      </c>
    </row>
    <row r="174" spans="1:14" x14ac:dyDescent="0.3">
      <c r="A174" s="42" t="s">
        <v>163</v>
      </c>
      <c r="B174" s="42"/>
    </row>
    <row r="175" spans="1:14" x14ac:dyDescent="0.3">
      <c r="A175" s="121"/>
      <c r="B175" s="14"/>
      <c r="C175" s="14">
        <v>1</v>
      </c>
      <c r="D175" s="14">
        <v>2</v>
      </c>
      <c r="E175" s="14">
        <v>3</v>
      </c>
      <c r="F175" s="14">
        <v>4</v>
      </c>
      <c r="G175" s="14">
        <v>5</v>
      </c>
      <c r="H175" s="14">
        <v>6</v>
      </c>
      <c r="I175" s="14">
        <v>7</v>
      </c>
      <c r="J175" s="14">
        <v>8</v>
      </c>
      <c r="K175" s="14">
        <v>9</v>
      </c>
      <c r="L175" s="14">
        <v>10</v>
      </c>
      <c r="M175" s="14">
        <v>11</v>
      </c>
      <c r="N175" s="14">
        <v>12</v>
      </c>
    </row>
    <row r="176" spans="1:14" x14ac:dyDescent="0.3">
      <c r="A176" s="122" t="s">
        <v>112</v>
      </c>
      <c r="B176" s="197"/>
      <c r="C176" s="123">
        <f>N170</f>
        <v>62002.988040528464</v>
      </c>
      <c r="D176" s="124">
        <f>C189</f>
        <v>61803.182887517614</v>
      </c>
      <c r="E176" s="124">
        <f t="shared" ref="E176" si="86">D189</f>
        <v>63626.616454433301</v>
      </c>
      <c r="F176" s="124">
        <f t="shared" ref="F176" si="87">E189</f>
        <v>62820.777334920356</v>
      </c>
      <c r="G176" s="124">
        <f t="shared" ref="G176" si="88">F189</f>
        <v>62585.457620844318</v>
      </c>
      <c r="H176" s="124">
        <f t="shared" ref="H176" si="89">G189</f>
        <v>64408.891187760004</v>
      </c>
      <c r="I176" s="124">
        <f t="shared" ref="I176" si="90">H189</f>
        <v>63881.814754675688</v>
      </c>
      <c r="J176" s="124">
        <f t="shared" ref="J176" si="91">I189</f>
        <v>63751.49504059965</v>
      </c>
      <c r="K176" s="124">
        <f t="shared" ref="K176" si="92">J189</f>
        <v>65574.928607515336</v>
      </c>
      <c r="L176" s="124">
        <f t="shared" ref="L176" si="93">K189</f>
        <v>6834.8686744310398</v>
      </c>
      <c r="M176" s="124">
        <f t="shared" ref="M176" si="94">L189</f>
        <v>16981.182460354987</v>
      </c>
      <c r="N176" s="124">
        <f t="shared" ref="N176" si="95">M189</f>
        <v>18804.616027270673</v>
      </c>
    </row>
    <row r="177" spans="1:14" x14ac:dyDescent="0.3">
      <c r="A177" s="126" t="s">
        <v>113</v>
      </c>
      <c r="B177" s="198"/>
      <c r="C177" s="123">
        <f>SUM(C178:C179)</f>
        <v>6000</v>
      </c>
      <c r="D177" s="123">
        <f t="shared" ref="D177:N177" si="96">SUM(D178:D179)</f>
        <v>6120</v>
      </c>
      <c r="E177" s="123">
        <f t="shared" si="96"/>
        <v>6120</v>
      </c>
      <c r="F177" s="123">
        <f t="shared" si="96"/>
        <v>6120</v>
      </c>
      <c r="G177" s="123">
        <f t="shared" si="96"/>
        <v>6120</v>
      </c>
      <c r="H177" s="123">
        <f t="shared" si="96"/>
        <v>6120</v>
      </c>
      <c r="I177" s="123">
        <f t="shared" si="96"/>
        <v>6120</v>
      </c>
      <c r="J177" s="123">
        <f t="shared" si="96"/>
        <v>6120</v>
      </c>
      <c r="K177" s="123">
        <f t="shared" si="96"/>
        <v>6120</v>
      </c>
      <c r="L177" s="123">
        <f t="shared" si="96"/>
        <v>6120</v>
      </c>
      <c r="M177" s="123">
        <f t="shared" si="96"/>
        <v>6120</v>
      </c>
      <c r="N177" s="123">
        <f t="shared" si="96"/>
        <v>6120</v>
      </c>
    </row>
    <row r="178" spans="1:14" x14ac:dyDescent="0.3">
      <c r="A178" s="113" t="s">
        <v>114</v>
      </c>
      <c r="B178" s="112"/>
      <c r="C178" s="41">
        <f>O21</f>
        <v>6000</v>
      </c>
      <c r="D178" s="41">
        <f>W10</f>
        <v>6120</v>
      </c>
      <c r="E178" s="41">
        <f>D178</f>
        <v>6120</v>
      </c>
      <c r="F178" s="41">
        <f t="shared" ref="F178:N178" si="97">E178</f>
        <v>6120</v>
      </c>
      <c r="G178" s="41">
        <f t="shared" si="97"/>
        <v>6120</v>
      </c>
      <c r="H178" s="41">
        <f t="shared" si="97"/>
        <v>6120</v>
      </c>
      <c r="I178" s="41">
        <f t="shared" si="97"/>
        <v>6120</v>
      </c>
      <c r="J178" s="41">
        <f t="shared" si="97"/>
        <v>6120</v>
      </c>
      <c r="K178" s="41">
        <f t="shared" si="97"/>
        <v>6120</v>
      </c>
      <c r="L178" s="41">
        <f t="shared" si="97"/>
        <v>6120</v>
      </c>
      <c r="M178" s="41">
        <f t="shared" si="97"/>
        <v>6120</v>
      </c>
      <c r="N178" s="41">
        <f t="shared" si="97"/>
        <v>6120</v>
      </c>
    </row>
    <row r="179" spans="1:14" x14ac:dyDescent="0.3">
      <c r="A179" s="113" t="s">
        <v>115</v>
      </c>
      <c r="B179" s="112"/>
    </row>
    <row r="180" spans="1:14" x14ac:dyDescent="0.3">
      <c r="A180" s="126" t="s">
        <v>116</v>
      </c>
      <c r="B180" s="198"/>
      <c r="C180" s="123">
        <f>SUM(C181:C188)</f>
        <v>6199.8051530108514</v>
      </c>
      <c r="D180" s="123">
        <f t="shared" ref="D180:N180" si="98">SUM(D181:D188)</f>
        <v>4296.5664330843138</v>
      </c>
      <c r="E180" s="123">
        <f t="shared" si="98"/>
        <v>6925.8391195129461</v>
      </c>
      <c r="F180" s="123">
        <f t="shared" si="98"/>
        <v>6355.3197140760485</v>
      </c>
      <c r="G180" s="123">
        <f t="shared" si="98"/>
        <v>4296.5664330843138</v>
      </c>
      <c r="H180" s="123">
        <f t="shared" si="98"/>
        <v>6647.076433084314</v>
      </c>
      <c r="I180" s="123">
        <f t="shared" si="98"/>
        <v>6250.3197140760485</v>
      </c>
      <c r="J180" s="123">
        <f t="shared" si="98"/>
        <v>4296.5664330843138</v>
      </c>
      <c r="K180" s="123">
        <f>SUM(K181:K188)</f>
        <v>64860.059933084296</v>
      </c>
      <c r="L180" s="123">
        <f t="shared" si="98"/>
        <v>-4026.3137859239469</v>
      </c>
      <c r="M180" s="123">
        <f t="shared" si="98"/>
        <v>4296.5664330843138</v>
      </c>
      <c r="N180" s="123">
        <f t="shared" si="98"/>
        <v>5042.076433084314</v>
      </c>
    </row>
    <row r="181" spans="1:14" x14ac:dyDescent="0.3">
      <c r="A181" s="113" t="s">
        <v>117</v>
      </c>
      <c r="B181" s="112"/>
      <c r="H181">
        <f>Résultat!D11*1.21</f>
        <v>605</v>
      </c>
      <c r="K181" s="41">
        <f>SUM('Invest initial'!E3:E9)/15*5*1.21</f>
        <v>59817.983499999988</v>
      </c>
    </row>
    <row r="182" spans="1:14" x14ac:dyDescent="0.3">
      <c r="A182" s="113" t="s">
        <v>118</v>
      </c>
      <c r="B182" s="112"/>
      <c r="C182" s="41">
        <f>O45</f>
        <v>1971.7958333333331</v>
      </c>
      <c r="D182" s="41">
        <f>W34</f>
        <v>2165.8865555555558</v>
      </c>
      <c r="E182" s="41">
        <f>D182</f>
        <v>2165.8865555555558</v>
      </c>
      <c r="F182" s="41">
        <f t="shared" ref="F182:F183" si="99">E182</f>
        <v>2165.8865555555558</v>
      </c>
      <c r="G182" s="41">
        <f t="shared" ref="G182:G183" si="100">F182</f>
        <v>2165.8865555555558</v>
      </c>
      <c r="H182" s="41">
        <f t="shared" ref="H182:H183" si="101">G182</f>
        <v>2165.8865555555558</v>
      </c>
      <c r="I182" s="41">
        <f t="shared" ref="I182:I183" si="102">H182</f>
        <v>2165.8865555555558</v>
      </c>
      <c r="J182" s="41">
        <f t="shared" ref="J182:J183" si="103">I182</f>
        <v>2165.8865555555558</v>
      </c>
      <c r="K182" s="41">
        <f t="shared" ref="K182:K183" si="104">J182</f>
        <v>2165.8865555555558</v>
      </c>
      <c r="L182" s="41">
        <f t="shared" ref="L182:L183" si="105">K182</f>
        <v>2165.8865555555558</v>
      </c>
      <c r="M182" s="41">
        <f t="shared" ref="M182:M183" si="106">L182</f>
        <v>2165.8865555555558</v>
      </c>
      <c r="N182" s="41">
        <f t="shared" ref="N182:N183" si="107">M182</f>
        <v>2165.8865555555558</v>
      </c>
    </row>
    <row r="183" spans="1:14" x14ac:dyDescent="0.3">
      <c r="A183" s="113" t="s">
        <v>119</v>
      </c>
      <c r="B183" s="112"/>
      <c r="C183" s="40">
        <f>W58</f>
        <v>1166.6666666666667</v>
      </c>
      <c r="D183" s="40">
        <f>C183</f>
        <v>1166.6666666666667</v>
      </c>
      <c r="E183" s="40">
        <f>D183</f>
        <v>1166.6666666666667</v>
      </c>
      <c r="F183" s="40">
        <f t="shared" si="99"/>
        <v>1166.6666666666667</v>
      </c>
      <c r="G183" s="40">
        <f t="shared" si="100"/>
        <v>1166.6666666666667</v>
      </c>
      <c r="H183" s="40">
        <f t="shared" si="101"/>
        <v>1166.6666666666667</v>
      </c>
      <c r="I183" s="40">
        <f t="shared" si="102"/>
        <v>1166.6666666666667</v>
      </c>
      <c r="J183" s="40">
        <f t="shared" si="103"/>
        <v>1166.6666666666667</v>
      </c>
      <c r="K183" s="40">
        <f t="shared" si="104"/>
        <v>1166.6666666666667</v>
      </c>
      <c r="L183" s="40">
        <f t="shared" si="105"/>
        <v>1166.6666666666667</v>
      </c>
      <c r="M183" s="40">
        <f t="shared" si="106"/>
        <v>1166.6666666666667</v>
      </c>
      <c r="N183" s="40">
        <f t="shared" si="107"/>
        <v>1166.6666666666667</v>
      </c>
    </row>
    <row r="184" spans="1:14" x14ac:dyDescent="0.3">
      <c r="A184" s="113" t="s">
        <v>120</v>
      </c>
      <c r="B184" s="112"/>
      <c r="C184" s="40"/>
      <c r="D184" s="40"/>
      <c r="E184" s="40">
        <f>X60</f>
        <v>745.51</v>
      </c>
      <c r="F184" s="40"/>
      <c r="G184" s="40"/>
      <c r="H184" s="40">
        <f>E184</f>
        <v>745.51</v>
      </c>
      <c r="I184" s="40"/>
      <c r="J184" s="40"/>
      <c r="K184" s="40">
        <f>H184</f>
        <v>745.51</v>
      </c>
      <c r="L184" s="40"/>
      <c r="M184" s="40"/>
      <c r="N184" s="40">
        <f>K184</f>
        <v>745.51</v>
      </c>
    </row>
    <row r="185" spans="1:14" x14ac:dyDescent="0.3">
      <c r="A185" s="113" t="s">
        <v>121</v>
      </c>
      <c r="B185" s="112"/>
      <c r="C185" s="41">
        <f>SUM(S81:T81)</f>
        <v>964.01321086209146</v>
      </c>
      <c r="D185" s="41">
        <f>C185</f>
        <v>964.01321086209146</v>
      </c>
      <c r="E185" s="41">
        <f t="shared" ref="E185:N185" si="108">D185</f>
        <v>964.01321086209146</v>
      </c>
      <c r="F185" s="41">
        <f t="shared" si="108"/>
        <v>964.01321086209146</v>
      </c>
      <c r="G185" s="41">
        <f t="shared" si="108"/>
        <v>964.01321086209146</v>
      </c>
      <c r="H185" s="41">
        <f t="shared" si="108"/>
        <v>964.01321086209146</v>
      </c>
      <c r="I185" s="41">
        <f t="shared" si="108"/>
        <v>964.01321086209146</v>
      </c>
      <c r="J185" s="41">
        <f t="shared" si="108"/>
        <v>964.01321086209146</v>
      </c>
      <c r="K185" s="41">
        <f t="shared" si="108"/>
        <v>964.01321086209146</v>
      </c>
      <c r="L185" s="41">
        <f t="shared" si="108"/>
        <v>964.01321086209146</v>
      </c>
      <c r="M185" s="41">
        <f t="shared" si="108"/>
        <v>964.01321086209146</v>
      </c>
      <c r="N185" s="41">
        <f t="shared" si="108"/>
        <v>964.01321086209146</v>
      </c>
    </row>
    <row r="186" spans="1:14" x14ac:dyDescent="0.3">
      <c r="A186" s="113" t="s">
        <v>144</v>
      </c>
      <c r="B186" s="112"/>
      <c r="D186" s="41"/>
      <c r="E186" s="41"/>
      <c r="F186" s="41"/>
      <c r="G186" s="41"/>
      <c r="H186" s="41"/>
      <c r="I186" s="41"/>
      <c r="J186" s="41"/>
      <c r="K186" s="41"/>
      <c r="L186" s="41"/>
      <c r="M186" s="41"/>
      <c r="N186" s="41"/>
    </row>
    <row r="187" spans="1:14" x14ac:dyDescent="0.3">
      <c r="A187" s="113" t="s">
        <v>122</v>
      </c>
      <c r="B187" s="112"/>
      <c r="C187" s="41">
        <f>O121</f>
        <v>2097.3294421487603</v>
      </c>
      <c r="F187" s="41">
        <f>F130</f>
        <v>2058.7532809917348</v>
      </c>
      <c r="I187" s="41">
        <f>I130</f>
        <v>1953.753280991735</v>
      </c>
      <c r="J187" s="41"/>
      <c r="K187" s="41"/>
      <c r="L187" s="41">
        <f>L130</f>
        <v>-8322.8802190082606</v>
      </c>
      <c r="M187" s="41"/>
      <c r="N187" s="41"/>
    </row>
    <row r="188" spans="1:14" x14ac:dyDescent="0.3">
      <c r="A188" s="113" t="s">
        <v>123</v>
      </c>
      <c r="B188" s="112"/>
      <c r="E188" s="41">
        <f>Résultat!C42</f>
        <v>1883.7626864286326</v>
      </c>
      <c r="H188">
        <f>Résultat!D33</f>
        <v>1000</v>
      </c>
    </row>
    <row r="189" spans="1:14" x14ac:dyDescent="0.3">
      <c r="A189" s="126" t="s">
        <v>124</v>
      </c>
      <c r="B189" s="198"/>
      <c r="C189" s="124">
        <f>C176+C177-C180</f>
        <v>61803.182887517614</v>
      </c>
      <c r="D189" s="124">
        <f t="shared" ref="D189:E189" si="109">D176+D177-D180</f>
        <v>63626.616454433301</v>
      </c>
      <c r="E189" s="124">
        <f t="shared" si="109"/>
        <v>62820.777334920356</v>
      </c>
      <c r="F189" s="124">
        <f>F176+F177-F180</f>
        <v>62585.457620844318</v>
      </c>
      <c r="G189" s="124">
        <f t="shared" ref="G189:N189" si="110">G176+G177-G180</f>
        <v>64408.891187760004</v>
      </c>
      <c r="H189" s="124">
        <f t="shared" si="110"/>
        <v>63881.814754675688</v>
      </c>
      <c r="I189" s="124">
        <f t="shared" si="110"/>
        <v>63751.49504059965</v>
      </c>
      <c r="J189" s="124">
        <f t="shared" si="110"/>
        <v>65574.928607515336</v>
      </c>
      <c r="K189" s="124">
        <f t="shared" si="110"/>
        <v>6834.8686744310398</v>
      </c>
      <c r="L189" s="124">
        <f t="shared" si="110"/>
        <v>16981.182460354987</v>
      </c>
      <c r="M189" s="124">
        <f t="shared" si="110"/>
        <v>18804.616027270673</v>
      </c>
      <c r="N189" s="124">
        <f t="shared" si="110"/>
        <v>19882.539594186361</v>
      </c>
    </row>
    <row r="192" spans="1:14" x14ac:dyDescent="0.3">
      <c r="C192" s="41"/>
    </row>
    <row r="193" spans="3:3" x14ac:dyDescent="0.3">
      <c r="C193" s="41"/>
    </row>
  </sheetData>
  <mergeCells count="47">
    <mergeCell ref="A140:B140"/>
    <mergeCell ref="J5:P5"/>
    <mergeCell ref="R5:X5"/>
    <mergeCell ref="A127:B127"/>
    <mergeCell ref="A126:B126"/>
    <mergeCell ref="A125:B125"/>
    <mergeCell ref="A139:B139"/>
    <mergeCell ref="A152:B152"/>
    <mergeCell ref="A151:B151"/>
    <mergeCell ref="A150:B150"/>
    <mergeCell ref="A149:B149"/>
    <mergeCell ref="A148:B148"/>
    <mergeCell ref="A147:B147"/>
    <mergeCell ref="A146:B146"/>
    <mergeCell ref="A145:B145"/>
    <mergeCell ref="A144:B144"/>
    <mergeCell ref="A143:B143"/>
    <mergeCell ref="A142:B142"/>
    <mergeCell ref="A141:B141"/>
    <mergeCell ref="A106:B106"/>
    <mergeCell ref="A107:B107"/>
    <mergeCell ref="A108:B108"/>
    <mergeCell ref="A109:B109"/>
    <mergeCell ref="A110:B110"/>
    <mergeCell ref="A111:B111"/>
    <mergeCell ref="A116:B116"/>
    <mergeCell ref="A117:B117"/>
    <mergeCell ref="A118:B118"/>
    <mergeCell ref="A119:B119"/>
    <mergeCell ref="A120:B120"/>
    <mergeCell ref="A121:B121"/>
    <mergeCell ref="A130:B130"/>
    <mergeCell ref="A129:B129"/>
    <mergeCell ref="A128:B128"/>
    <mergeCell ref="C7:E7"/>
    <mergeCell ref="C31:E31"/>
    <mergeCell ref="C56:E56"/>
    <mergeCell ref="C79:D79"/>
    <mergeCell ref="C5:I5"/>
    <mergeCell ref="S56:U56"/>
    <mergeCell ref="S79:T79"/>
    <mergeCell ref="S7:U7"/>
    <mergeCell ref="S31:U31"/>
    <mergeCell ref="K7:M7"/>
    <mergeCell ref="K31:M31"/>
    <mergeCell ref="K56:M56"/>
    <mergeCell ref="K79:L7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054D-7BD0-4CFE-B0EF-C1EEDDD2C17E}">
  <dimension ref="A1:K85"/>
  <sheetViews>
    <sheetView showGridLines="0" zoomScale="25" zoomScaleNormal="25" workbookViewId="0">
      <selection activeCell="K20" sqref="K20"/>
    </sheetView>
  </sheetViews>
  <sheetFormatPr baseColWidth="10" defaultRowHeight="14" x14ac:dyDescent="0.3"/>
  <cols>
    <col min="1" max="1" width="35.69921875" bestFit="1" customWidth="1"/>
    <col min="5" max="5" width="13" bestFit="1" customWidth="1"/>
    <col min="6" max="6" width="36.59765625" bestFit="1" customWidth="1"/>
    <col min="7" max="7" width="11.69921875" bestFit="1" customWidth="1"/>
    <col min="8" max="8" width="13" bestFit="1" customWidth="1"/>
  </cols>
  <sheetData>
    <row r="1" spans="1:10" ht="14" customHeight="1" x14ac:dyDescent="0.3">
      <c r="A1" s="182" t="s">
        <v>0</v>
      </c>
      <c r="B1" s="182"/>
      <c r="C1" s="182"/>
      <c r="D1" s="182"/>
      <c r="E1" s="182"/>
      <c r="F1" s="186" t="s">
        <v>1</v>
      </c>
      <c r="G1" s="187"/>
      <c r="H1" s="146"/>
      <c r="I1" s="146"/>
      <c r="J1" s="146"/>
    </row>
    <row r="2" spans="1:10" ht="14" customHeight="1" x14ac:dyDescent="0.3">
      <c r="A2" s="183"/>
      <c r="B2" s="183"/>
      <c r="C2" s="183"/>
      <c r="D2" s="183"/>
      <c r="E2" s="183"/>
      <c r="F2" s="188"/>
      <c r="G2" s="183"/>
    </row>
    <row r="3" spans="1:10" ht="23.65" x14ac:dyDescent="0.3">
      <c r="A3" s="181" t="s">
        <v>20</v>
      </c>
      <c r="B3" s="181"/>
      <c r="C3" s="181"/>
      <c r="D3" s="181"/>
      <c r="E3" s="181"/>
      <c r="F3" s="181"/>
      <c r="G3" s="181"/>
    </row>
    <row r="4" spans="1:10" ht="15.6" x14ac:dyDescent="0.35">
      <c r="A4" s="137" t="s">
        <v>132</v>
      </c>
      <c r="B4" s="137">
        <v>105000</v>
      </c>
      <c r="E4" s="113"/>
      <c r="F4" s="137" t="s">
        <v>133</v>
      </c>
      <c r="G4" s="137">
        <v>105000</v>
      </c>
      <c r="J4" s="1"/>
    </row>
    <row r="11" spans="1:10" ht="23.65" customHeight="1" x14ac:dyDescent="0.3">
      <c r="A11" s="182" t="s">
        <v>0</v>
      </c>
      <c r="B11" s="182"/>
      <c r="C11" s="182"/>
      <c r="D11" s="182"/>
      <c r="E11" s="182"/>
      <c r="F11" s="186" t="s">
        <v>1</v>
      </c>
      <c r="G11" s="187"/>
      <c r="H11" s="187"/>
      <c r="I11" s="146"/>
      <c r="J11" s="146"/>
    </row>
    <row r="12" spans="1:10" ht="23.65" customHeight="1" x14ac:dyDescent="0.3">
      <c r="A12" s="183"/>
      <c r="B12" s="183"/>
      <c r="C12" s="183"/>
      <c r="D12" s="183"/>
      <c r="E12" s="183"/>
      <c r="F12" s="188"/>
      <c r="G12" s="183"/>
      <c r="H12" s="183"/>
    </row>
    <row r="13" spans="1:10" ht="23.65" x14ac:dyDescent="0.3">
      <c r="A13" s="181" t="s">
        <v>73</v>
      </c>
      <c r="B13" s="181"/>
      <c r="C13" s="181"/>
      <c r="D13" s="181"/>
      <c r="E13" s="181"/>
      <c r="F13" s="181"/>
      <c r="G13" s="181"/>
      <c r="H13" s="181"/>
    </row>
    <row r="14" spans="1:10" ht="15.6" x14ac:dyDescent="0.35">
      <c r="A14" s="137" t="s">
        <v>126</v>
      </c>
      <c r="B14" s="137"/>
      <c r="C14" s="137"/>
      <c r="D14" s="137">
        <f>SUM(D15:D16)</f>
        <v>174185.87125</v>
      </c>
      <c r="E14" s="113"/>
      <c r="F14" s="137" t="s">
        <v>133</v>
      </c>
      <c r="G14" s="137">
        <f>SUM(G15:G17)</f>
        <v>91296.36999131742</v>
      </c>
      <c r="J14" s="1"/>
    </row>
    <row r="15" spans="1:10" x14ac:dyDescent="0.3">
      <c r="A15" s="1"/>
      <c r="B15" t="s">
        <v>101</v>
      </c>
      <c r="C15" t="s">
        <v>129</v>
      </c>
      <c r="D15" t="s">
        <v>103</v>
      </c>
      <c r="E15" s="4"/>
      <c r="F15" s="144" t="s">
        <v>134</v>
      </c>
      <c r="G15" s="1">
        <f>'Invest initial'!E19+'Invest initial'!E17</f>
        <v>105000</v>
      </c>
      <c r="J15" s="1"/>
    </row>
    <row r="16" spans="1:10" x14ac:dyDescent="0.3">
      <c r="A16" s="1" t="s">
        <v>127</v>
      </c>
      <c r="B16" s="1">
        <f>SUM('Invest initial'!E3:E10)</f>
        <v>188309.05</v>
      </c>
      <c r="C16" s="1">
        <f>Résultat!B31</f>
        <v>14123.178749999999</v>
      </c>
      <c r="D16" s="1">
        <f>B16-C16</f>
        <v>174185.87125</v>
      </c>
      <c r="E16" s="4"/>
      <c r="F16" s="144" t="s">
        <v>164</v>
      </c>
      <c r="J16" s="1"/>
    </row>
    <row r="17" spans="1:11" x14ac:dyDescent="0.3">
      <c r="E17" s="4"/>
      <c r="F17" s="144" t="s">
        <v>135</v>
      </c>
      <c r="G17" s="41">
        <f>Résultat!B50</f>
        <v>-13703.630008682583</v>
      </c>
      <c r="J17" s="1"/>
    </row>
    <row r="18" spans="1:11" x14ac:dyDescent="0.3">
      <c r="D18" s="1"/>
      <c r="E18" s="4"/>
      <c r="J18" s="1"/>
    </row>
    <row r="19" spans="1:11" x14ac:dyDescent="0.3">
      <c r="A19" s="1"/>
      <c r="B19" s="1"/>
      <c r="C19" s="1"/>
      <c r="D19" s="1"/>
      <c r="E19" s="4"/>
      <c r="J19" s="1"/>
    </row>
    <row r="20" spans="1:11" ht="15.6" x14ac:dyDescent="0.35">
      <c r="A20" s="137" t="s">
        <v>128</v>
      </c>
      <c r="B20" s="138"/>
      <c r="C20" s="138"/>
      <c r="D20" s="139">
        <f>SUM(D21:D23)</f>
        <v>58122.904339468601</v>
      </c>
      <c r="E20" s="145"/>
      <c r="F20" s="137" t="s">
        <v>136</v>
      </c>
      <c r="G20" s="137">
        <f>SUM(G27+G26+G23+G22+G21)</f>
        <v>141012.40559815115</v>
      </c>
      <c r="J20" s="1"/>
    </row>
    <row r="21" spans="1:11" x14ac:dyDescent="0.3">
      <c r="A21" s="1" t="s">
        <v>130</v>
      </c>
      <c r="C21" s="1"/>
      <c r="D21" s="1"/>
      <c r="E21" s="4"/>
      <c r="F21" s="1" t="s">
        <v>137</v>
      </c>
      <c r="G21" s="1">
        <f>Trésorerie!C100</f>
        <v>136924.43032266907</v>
      </c>
      <c r="H21" s="1"/>
      <c r="I21" s="1"/>
      <c r="J21" s="1"/>
    </row>
    <row r="22" spans="1:11" x14ac:dyDescent="0.3">
      <c r="A22" s="1" t="s">
        <v>131</v>
      </c>
      <c r="B22" s="1">
        <f>Trésorerie!G27</f>
        <v>6000</v>
      </c>
      <c r="C22" s="1"/>
      <c r="D22" s="1">
        <f>B22</f>
        <v>6000</v>
      </c>
      <c r="E22" s="4"/>
      <c r="F22" s="1" t="s">
        <v>138</v>
      </c>
      <c r="G22" s="1">
        <f>Trésorerie!G51</f>
        <v>2011.1208333333332</v>
      </c>
      <c r="H22" s="1"/>
      <c r="I22" s="1"/>
      <c r="J22" s="1"/>
    </row>
    <row r="23" spans="1:11" x14ac:dyDescent="0.3">
      <c r="A23" s="1" t="s">
        <v>132</v>
      </c>
      <c r="B23" s="1">
        <f>Trésorerie!T152</f>
        <v>52122.904339468601</v>
      </c>
      <c r="C23" s="1"/>
      <c r="D23" s="1">
        <f>B23</f>
        <v>52122.904339468601</v>
      </c>
      <c r="E23" s="4"/>
      <c r="F23" s="1" t="s">
        <v>139</v>
      </c>
      <c r="G23" s="1">
        <f>SUM(G24:G25)</f>
        <v>2076.8544421487604</v>
      </c>
      <c r="H23" s="1"/>
      <c r="I23" s="1"/>
      <c r="J23" s="1"/>
    </row>
    <row r="24" spans="1:11" x14ac:dyDescent="0.3">
      <c r="E24" s="4"/>
      <c r="F24" s="128" t="s">
        <v>140</v>
      </c>
      <c r="G24" s="132">
        <f>Trésorerie!U111</f>
        <v>2076.8544421487604</v>
      </c>
      <c r="H24" s="1"/>
      <c r="I24" s="1"/>
      <c r="J24" s="1"/>
    </row>
    <row r="25" spans="1:11" x14ac:dyDescent="0.3">
      <c r="A25" s="1"/>
      <c r="B25" s="1"/>
      <c r="C25" s="1"/>
      <c r="D25" s="1"/>
      <c r="E25" s="4"/>
      <c r="F25" s="128" t="s">
        <v>141</v>
      </c>
      <c r="G25" s="132">
        <f>Résultat!B42</f>
        <v>0</v>
      </c>
      <c r="H25" s="1"/>
      <c r="I25" s="1"/>
      <c r="J25" s="1"/>
    </row>
    <row r="26" spans="1:11" x14ac:dyDescent="0.3">
      <c r="A26" s="1"/>
      <c r="B26" s="1"/>
      <c r="C26" s="1"/>
      <c r="D26" s="1"/>
      <c r="E26" s="1"/>
      <c r="H26" s="1"/>
      <c r="I26" s="1"/>
      <c r="J26" s="1"/>
    </row>
    <row r="27" spans="1:11" x14ac:dyDescent="0.3">
      <c r="A27" s="1"/>
      <c r="B27" s="1"/>
      <c r="C27" s="1"/>
      <c r="D27" s="1"/>
      <c r="E27" s="1"/>
      <c r="H27" s="1"/>
      <c r="I27" s="1"/>
      <c r="J27" s="1"/>
      <c r="K27" s="1"/>
    </row>
    <row r="28" spans="1:11" ht="18.3" x14ac:dyDescent="0.4">
      <c r="A28" s="140" t="s">
        <v>142</v>
      </c>
      <c r="B28" s="140"/>
      <c r="C28" s="140"/>
      <c r="D28" s="140"/>
      <c r="E28" s="141">
        <f>D20+D14</f>
        <v>232308.7755894686</v>
      </c>
      <c r="F28" s="140" t="s">
        <v>143</v>
      </c>
      <c r="G28" s="142"/>
      <c r="H28" s="143">
        <f>G20+G14</f>
        <v>232308.77558946857</v>
      </c>
      <c r="I28" s="1"/>
      <c r="J28" s="1"/>
    </row>
    <row r="29" spans="1:11" x14ac:dyDescent="0.3">
      <c r="A29" s="1"/>
      <c r="B29" s="1"/>
      <c r="C29" s="1"/>
      <c r="D29" s="1" t="s">
        <v>165</v>
      </c>
      <c r="E29" s="127">
        <f>E28-H28</f>
        <v>0</v>
      </c>
      <c r="G29" s="1"/>
      <c r="H29" s="1"/>
      <c r="I29" s="1"/>
    </row>
    <row r="30" spans="1:11" x14ac:dyDescent="0.3">
      <c r="B30" s="1"/>
      <c r="C30" s="1"/>
      <c r="D30" s="1"/>
    </row>
    <row r="31" spans="1:11" x14ac:dyDescent="0.3">
      <c r="A31" s="1"/>
      <c r="B31" s="1"/>
      <c r="C31" s="1"/>
      <c r="D31" s="1"/>
      <c r="E31" s="1"/>
    </row>
    <row r="32" spans="1:11" x14ac:dyDescent="0.3">
      <c r="A32" s="1"/>
      <c r="B32" s="1"/>
      <c r="C32" s="1"/>
      <c r="D32" s="1"/>
      <c r="E32" s="1"/>
      <c r="H32" s="127"/>
    </row>
    <row r="33" spans="1:10" x14ac:dyDescent="0.3">
      <c r="A33" s="1"/>
      <c r="B33" s="1"/>
      <c r="C33" s="1"/>
      <c r="D33" s="1"/>
    </row>
    <row r="34" spans="1:10" x14ac:dyDescent="0.3">
      <c r="A34" s="1"/>
      <c r="B34" s="1"/>
      <c r="C34" s="1"/>
      <c r="D34" s="1"/>
      <c r="E34" s="1"/>
      <c r="F34" s="1"/>
      <c r="G34" s="1"/>
      <c r="H34" s="1"/>
    </row>
    <row r="35" spans="1:10" x14ac:dyDescent="0.3">
      <c r="A35" s="1"/>
      <c r="B35" s="1"/>
      <c r="C35" s="1"/>
      <c r="D35" s="1"/>
      <c r="E35" s="1"/>
      <c r="F35" s="1"/>
      <c r="G35" s="1"/>
      <c r="H35" s="1"/>
      <c r="I35" s="1"/>
      <c r="J35" s="1"/>
    </row>
    <row r="36" spans="1:10" x14ac:dyDescent="0.3">
      <c r="F36" s="1"/>
      <c r="G36" s="1"/>
      <c r="H36" s="1"/>
      <c r="I36" s="1"/>
      <c r="J36" s="1"/>
    </row>
    <row r="37" spans="1:10" ht="14" customHeight="1" x14ac:dyDescent="0.3">
      <c r="A37" s="182" t="s">
        <v>0</v>
      </c>
      <c r="B37" s="182"/>
      <c r="C37" s="182"/>
      <c r="D37" s="182"/>
      <c r="E37" s="184"/>
      <c r="F37" s="186" t="s">
        <v>1</v>
      </c>
      <c r="G37" s="187"/>
      <c r="H37" s="187"/>
      <c r="I37" s="146"/>
      <c r="J37" s="146"/>
    </row>
    <row r="38" spans="1:10" ht="14" customHeight="1" x14ac:dyDescent="0.3">
      <c r="A38" s="183"/>
      <c r="B38" s="183"/>
      <c r="C38" s="183"/>
      <c r="D38" s="183"/>
      <c r="E38" s="185"/>
      <c r="F38" s="188"/>
      <c r="G38" s="183"/>
      <c r="H38" s="183"/>
    </row>
    <row r="39" spans="1:10" ht="23.65" x14ac:dyDescent="0.3">
      <c r="A39" s="181" t="s">
        <v>74</v>
      </c>
      <c r="B39" s="181"/>
      <c r="C39" s="181"/>
      <c r="D39" s="181"/>
      <c r="E39" s="181"/>
      <c r="F39" s="181"/>
      <c r="G39" s="181"/>
      <c r="H39" s="181"/>
    </row>
    <row r="40" spans="1:10" ht="15.6" x14ac:dyDescent="0.35">
      <c r="A40" s="137" t="s">
        <v>126</v>
      </c>
      <c r="B40" s="137"/>
      <c r="C40" s="137"/>
      <c r="D40" s="137">
        <f>SUM(D41:D42)</f>
        <v>164770.41874999998</v>
      </c>
      <c r="F40" s="137" t="s">
        <v>133</v>
      </c>
      <c r="G40" s="137">
        <f>SUM(G41:G43)</f>
        <v>98831.420737031949</v>
      </c>
      <c r="J40" s="1"/>
    </row>
    <row r="41" spans="1:10" x14ac:dyDescent="0.3">
      <c r="A41" s="1"/>
      <c r="B41" t="s">
        <v>101</v>
      </c>
      <c r="C41" t="s">
        <v>129</v>
      </c>
      <c r="D41" t="s">
        <v>103</v>
      </c>
      <c r="E41" s="1"/>
      <c r="F41" s="3" t="s">
        <v>134</v>
      </c>
      <c r="G41" s="1">
        <f>G15</f>
        <v>105000</v>
      </c>
      <c r="J41" s="1"/>
    </row>
    <row r="42" spans="1:10" x14ac:dyDescent="0.3">
      <c r="A42" s="1" t="s">
        <v>127</v>
      </c>
      <c r="B42" s="1">
        <f>B16</f>
        <v>188309.05</v>
      </c>
      <c r="C42" s="1">
        <f>C16+Résultat!C31</f>
        <v>23538.631249999999</v>
      </c>
      <c r="D42" s="1">
        <f>B42-C42</f>
        <v>164770.41874999998</v>
      </c>
      <c r="E42" s="1"/>
      <c r="F42" s="3" t="s">
        <v>164</v>
      </c>
      <c r="J42" s="1"/>
    </row>
    <row r="43" spans="1:10" x14ac:dyDescent="0.3">
      <c r="A43" s="1"/>
      <c r="B43" s="1"/>
      <c r="C43" s="1"/>
      <c r="E43" s="1"/>
      <c r="F43" s="3" t="s">
        <v>135</v>
      </c>
      <c r="G43" s="41">
        <f>Résultat!C50</f>
        <v>-6168.5792629680527</v>
      </c>
      <c r="J43" s="1"/>
    </row>
    <row r="44" spans="1:10" x14ac:dyDescent="0.3">
      <c r="A44" s="1"/>
      <c r="B44" s="1"/>
      <c r="C44" s="1"/>
      <c r="D44" s="1"/>
      <c r="E44" s="1"/>
      <c r="F44" s="3"/>
      <c r="J44" s="1"/>
    </row>
    <row r="45" spans="1:10" ht="15.6" x14ac:dyDescent="0.35">
      <c r="A45" s="137" t="s">
        <v>128</v>
      </c>
      <c r="B45" s="137"/>
      <c r="C45" s="137"/>
      <c r="D45" s="137">
        <f>SUM(D46:D48)</f>
        <v>68002.988040528464</v>
      </c>
      <c r="E45" s="2"/>
      <c r="F45" s="137" t="s">
        <v>136</v>
      </c>
      <c r="G45" s="137">
        <f>SUM(G52+G51+G48+G47+G46)</f>
        <v>133941.98605349648</v>
      </c>
      <c r="J45" s="1"/>
    </row>
    <row r="46" spans="1:10" x14ac:dyDescent="0.3">
      <c r="A46" s="1" t="s">
        <v>130</v>
      </c>
      <c r="C46" s="1"/>
      <c r="D46" s="1"/>
      <c r="E46" s="1"/>
      <c r="F46" s="1" t="s">
        <v>137</v>
      </c>
      <c r="G46" s="1">
        <f>Trésorerie!K94</f>
        <v>127989.09809158577</v>
      </c>
      <c r="H46" s="1"/>
      <c r="I46" s="1"/>
      <c r="J46" s="1"/>
    </row>
    <row r="47" spans="1:10" x14ac:dyDescent="0.3">
      <c r="A47" s="1" t="s">
        <v>131</v>
      </c>
      <c r="B47" s="1">
        <f>Trésorerie!O21</f>
        <v>6000</v>
      </c>
      <c r="C47" s="1"/>
      <c r="D47" s="1">
        <f>B47</f>
        <v>6000</v>
      </c>
      <c r="E47" s="1"/>
      <c r="F47" s="1" t="s">
        <v>138</v>
      </c>
      <c r="G47" s="1">
        <f>Trésorerie!O45</f>
        <v>1971.7958333333331</v>
      </c>
      <c r="H47" s="1"/>
      <c r="I47" s="1"/>
      <c r="J47" s="1"/>
    </row>
    <row r="48" spans="1:10" x14ac:dyDescent="0.3">
      <c r="A48" s="1" t="s">
        <v>132</v>
      </c>
      <c r="B48" s="1">
        <f>Trésorerie!N170</f>
        <v>62002.988040528464</v>
      </c>
      <c r="C48" s="1"/>
      <c r="D48" s="1">
        <f>B48</f>
        <v>62002.988040528464</v>
      </c>
      <c r="E48" s="1"/>
      <c r="F48" s="1" t="s">
        <v>139</v>
      </c>
      <c r="G48" s="1">
        <f>SUM(G49:G50)</f>
        <v>3981.0921285773929</v>
      </c>
      <c r="H48" s="1"/>
      <c r="I48" s="1"/>
      <c r="J48" s="1"/>
    </row>
    <row r="49" spans="1:10" x14ac:dyDescent="0.3">
      <c r="A49" s="1"/>
      <c r="B49" s="1"/>
      <c r="C49" s="1"/>
      <c r="E49" s="1"/>
      <c r="F49" s="128" t="s">
        <v>140</v>
      </c>
      <c r="G49" s="132">
        <f>Trésorerie!O121</f>
        <v>2097.3294421487603</v>
      </c>
      <c r="H49" s="1"/>
      <c r="I49" s="1"/>
      <c r="J49" s="1"/>
    </row>
    <row r="50" spans="1:10" x14ac:dyDescent="0.3">
      <c r="A50" s="1"/>
      <c r="B50" s="1"/>
      <c r="C50" s="1"/>
      <c r="D50" s="1"/>
      <c r="E50" s="1"/>
      <c r="F50" s="128" t="s">
        <v>141</v>
      </c>
      <c r="G50" s="132">
        <f>Résultat!C42</f>
        <v>1883.7626864286326</v>
      </c>
      <c r="H50" s="1"/>
      <c r="I50" s="1"/>
      <c r="J50" s="1"/>
    </row>
    <row r="51" spans="1:10" x14ac:dyDescent="0.3">
      <c r="A51" s="1"/>
      <c r="B51" s="1"/>
      <c r="C51" s="1"/>
      <c r="D51" s="1"/>
      <c r="E51" s="1"/>
      <c r="F51" s="129"/>
      <c r="G51" s="1"/>
      <c r="H51" s="1"/>
      <c r="I51" s="1"/>
      <c r="J51" s="1"/>
    </row>
    <row r="52" spans="1:10" x14ac:dyDescent="0.3">
      <c r="A52" s="1"/>
      <c r="B52" s="1"/>
      <c r="C52" s="1"/>
      <c r="D52" s="1"/>
      <c r="E52" s="1"/>
      <c r="F52" s="1"/>
      <c r="G52" s="1"/>
      <c r="H52" s="1"/>
      <c r="I52" s="1"/>
      <c r="J52" s="1"/>
    </row>
    <row r="53" spans="1:10" ht="18.3" x14ac:dyDescent="0.4">
      <c r="A53" s="140" t="s">
        <v>142</v>
      </c>
      <c r="B53" s="140"/>
      <c r="C53" s="140"/>
      <c r="D53" s="140"/>
      <c r="E53" s="140">
        <f>D45+D40</f>
        <v>232773.40679052845</v>
      </c>
      <c r="F53" s="140" t="s">
        <v>143</v>
      </c>
      <c r="G53" s="140"/>
      <c r="H53" s="140">
        <f>G45+G40</f>
        <v>232773.40679052845</v>
      </c>
      <c r="I53" s="1"/>
      <c r="J53" s="1"/>
    </row>
    <row r="54" spans="1:10" x14ac:dyDescent="0.3">
      <c r="A54" s="1"/>
      <c r="B54" s="1"/>
      <c r="C54" s="1"/>
      <c r="D54" s="1" t="s">
        <v>165</v>
      </c>
      <c r="E54" s="127">
        <f>E53-H53</f>
        <v>0</v>
      </c>
      <c r="F54" s="1"/>
      <c r="G54" s="1"/>
      <c r="H54" s="1"/>
      <c r="I54" s="1"/>
    </row>
    <row r="56" spans="1:10" ht="14" customHeight="1" x14ac:dyDescent="0.3">
      <c r="A56" s="1"/>
      <c r="B56" s="1"/>
      <c r="C56" s="1"/>
      <c r="D56" s="1"/>
      <c r="E56" s="1"/>
    </row>
    <row r="57" spans="1:10" ht="14" customHeight="1" x14ac:dyDescent="0.3">
      <c r="A57" s="1"/>
      <c r="B57" s="1"/>
      <c r="C57" s="1"/>
      <c r="D57" s="1"/>
      <c r="E57" s="1"/>
      <c r="H57" s="127"/>
    </row>
    <row r="58" spans="1:10" x14ac:dyDescent="0.3">
      <c r="A58" s="1"/>
      <c r="B58" s="1"/>
      <c r="C58" s="1"/>
      <c r="D58" s="1"/>
    </row>
    <row r="64" spans="1:10" ht="14" customHeight="1" x14ac:dyDescent="0.3">
      <c r="A64" s="182" t="s">
        <v>0</v>
      </c>
      <c r="B64" s="182"/>
      <c r="C64" s="182"/>
      <c r="D64" s="182"/>
      <c r="E64" s="182"/>
      <c r="F64" s="186" t="s">
        <v>1</v>
      </c>
      <c r="G64" s="187"/>
      <c r="H64" s="187"/>
      <c r="I64" s="146"/>
      <c r="J64" s="146"/>
    </row>
    <row r="65" spans="1:10" ht="14" customHeight="1" x14ac:dyDescent="0.3">
      <c r="A65" s="183"/>
      <c r="B65" s="183"/>
      <c r="C65" s="183"/>
      <c r="D65" s="183"/>
      <c r="E65" s="183"/>
      <c r="F65" s="188"/>
      <c r="G65" s="183"/>
      <c r="H65" s="183"/>
    </row>
    <row r="66" spans="1:10" ht="23.65" x14ac:dyDescent="0.3">
      <c r="A66" s="181" t="s">
        <v>75</v>
      </c>
      <c r="B66" s="181"/>
      <c r="C66" s="181"/>
      <c r="D66" s="181"/>
      <c r="E66" s="181"/>
      <c r="F66" s="181"/>
      <c r="G66" s="181"/>
      <c r="H66" s="181"/>
    </row>
    <row r="67" spans="1:10" ht="15.6" x14ac:dyDescent="0.35">
      <c r="A67" s="137" t="s">
        <v>126</v>
      </c>
      <c r="B67" s="137"/>
      <c r="C67" s="137"/>
      <c r="D67" s="137">
        <f>SUM(D68:D69)</f>
        <v>155354.96625</v>
      </c>
      <c r="F67" s="137" t="s">
        <v>133</v>
      </c>
      <c r="G67" s="137">
        <f>SUM(G68:G70)</f>
        <v>105921.60958081298</v>
      </c>
      <c r="J67" s="1"/>
    </row>
    <row r="68" spans="1:10" x14ac:dyDescent="0.3">
      <c r="A68" s="1"/>
      <c r="B68" t="s">
        <v>101</v>
      </c>
      <c r="C68" t="s">
        <v>129</v>
      </c>
      <c r="D68" t="s">
        <v>103</v>
      </c>
      <c r="E68" s="1"/>
      <c r="F68" s="3" t="s">
        <v>134</v>
      </c>
      <c r="G68" s="1">
        <f>G41</f>
        <v>105000</v>
      </c>
      <c r="J68" s="1"/>
    </row>
    <row r="69" spans="1:10" x14ac:dyDescent="0.3">
      <c r="A69" s="1" t="s">
        <v>127</v>
      </c>
      <c r="B69" s="1">
        <f>B42</f>
        <v>188309.05</v>
      </c>
      <c r="C69" s="1">
        <f>C42+Résultat!D31</f>
        <v>32954.083749999998</v>
      </c>
      <c r="D69" s="1">
        <f>B69-C69</f>
        <v>155354.96625</v>
      </c>
      <c r="E69" s="1"/>
      <c r="F69" s="3" t="s">
        <v>164</v>
      </c>
      <c r="G69" s="41">
        <f>Résultat!D49</f>
        <v>46.080479040648108</v>
      </c>
      <c r="J69" s="1"/>
    </row>
    <row r="70" spans="1:10" x14ac:dyDescent="0.3">
      <c r="A70" s="1"/>
      <c r="B70" s="1"/>
      <c r="C70" s="1"/>
      <c r="E70" s="1"/>
      <c r="F70" s="3" t="s">
        <v>135</v>
      </c>
      <c r="G70" s="41">
        <f>Résultat!D50</f>
        <v>875.52910177231399</v>
      </c>
      <c r="J70" s="1"/>
    </row>
    <row r="71" spans="1:10" x14ac:dyDescent="0.3">
      <c r="A71" s="1"/>
      <c r="B71" s="1"/>
      <c r="C71" s="1"/>
      <c r="D71" s="1"/>
      <c r="E71" s="1"/>
      <c r="F71" s="3"/>
      <c r="J71" s="1"/>
    </row>
    <row r="72" spans="1:10" ht="15.6" x14ac:dyDescent="0.35">
      <c r="A72" s="137" t="s">
        <v>128</v>
      </c>
      <c r="B72" s="137"/>
      <c r="C72" s="137"/>
      <c r="D72" s="137">
        <f>SUM(D73:D75)</f>
        <v>75438.889594186359</v>
      </c>
      <c r="E72" s="2"/>
      <c r="F72" s="137" t="s">
        <v>136</v>
      </c>
      <c r="G72" s="137">
        <f>SUM(G79+G78+G75+G74+G73)</f>
        <v>124872.24626337334</v>
      </c>
      <c r="J72" s="1"/>
    </row>
    <row r="73" spans="1:10" x14ac:dyDescent="0.3">
      <c r="A73" s="1" t="s">
        <v>130</v>
      </c>
      <c r="B73" cm="1">
        <f t="array" ref="B73">SUM('Invest initial'!E3:E9/15*5)</f>
        <v>49436.350000000006</v>
      </c>
      <c r="C73" s="1"/>
      <c r="D73" s="1">
        <f>B73</f>
        <v>49436.350000000006</v>
      </c>
      <c r="E73" s="1"/>
      <c r="F73" s="1" t="s">
        <v>137</v>
      </c>
      <c r="G73" s="1">
        <f>Trésorerie!S94</f>
        <v>118875.0592158808</v>
      </c>
      <c r="H73" s="1"/>
      <c r="I73" s="1"/>
      <c r="J73" s="1"/>
    </row>
    <row r="74" spans="1:10" x14ac:dyDescent="0.3">
      <c r="A74" s="1" t="s">
        <v>131</v>
      </c>
      <c r="B74" s="1">
        <f>Trésorerie!W21</f>
        <v>6120</v>
      </c>
      <c r="C74" s="1"/>
      <c r="D74" s="1">
        <f>B74</f>
        <v>6120</v>
      </c>
      <c r="E74" s="1"/>
      <c r="F74" s="1" t="s">
        <v>138</v>
      </c>
      <c r="G74" s="1">
        <f>Trésorerie!W45</f>
        <v>2165.8865555555558</v>
      </c>
      <c r="H74" s="1"/>
      <c r="I74" s="1"/>
      <c r="J74" s="1"/>
    </row>
    <row r="75" spans="1:10" x14ac:dyDescent="0.3">
      <c r="A75" s="1" t="s">
        <v>132</v>
      </c>
      <c r="B75" s="1">
        <f>Trésorerie!N189</f>
        <v>19882.539594186361</v>
      </c>
      <c r="C75" s="1"/>
      <c r="D75" s="1">
        <f>B75</f>
        <v>19882.539594186361</v>
      </c>
      <c r="E75" s="1"/>
      <c r="F75" s="1" t="s">
        <v>139</v>
      </c>
      <c r="G75" s="1">
        <f>SUM(G76:G77)</f>
        <v>3831.3004919369887</v>
      </c>
      <c r="H75" s="1"/>
      <c r="I75" s="1"/>
      <c r="J75" s="1"/>
    </row>
    <row r="76" spans="1:10" x14ac:dyDescent="0.3">
      <c r="A76" s="1"/>
      <c r="B76" s="1"/>
      <c r="C76" s="1"/>
      <c r="E76" s="1"/>
      <c r="F76" s="128" t="s">
        <v>140</v>
      </c>
      <c r="G76" s="132">
        <f>Trésorerie!O130</f>
        <v>2058.7532809917348</v>
      </c>
      <c r="H76" s="1"/>
      <c r="I76" s="1"/>
      <c r="J76" s="1"/>
    </row>
    <row r="77" spans="1:10" x14ac:dyDescent="0.3">
      <c r="A77" s="1"/>
      <c r="B77" s="1"/>
      <c r="C77" s="1"/>
      <c r="D77" s="1"/>
      <c r="E77" s="1"/>
      <c r="F77" s="128" t="s">
        <v>141</v>
      </c>
      <c r="G77" s="132">
        <f>Résultat!D42</f>
        <v>1772.5472109452539</v>
      </c>
      <c r="H77" s="1"/>
      <c r="I77" s="1"/>
      <c r="J77" s="1"/>
    </row>
    <row r="78" spans="1:10" x14ac:dyDescent="0.3">
      <c r="A78" s="1"/>
      <c r="B78" s="1"/>
      <c r="C78" s="1"/>
      <c r="D78" s="1"/>
      <c r="E78" s="1"/>
      <c r="F78" s="129"/>
      <c r="G78" s="1"/>
      <c r="H78" s="1"/>
      <c r="I78" s="1"/>
      <c r="J78" s="1"/>
    </row>
    <row r="79" spans="1:10" x14ac:dyDescent="0.3">
      <c r="A79" s="1"/>
      <c r="B79" s="1"/>
      <c r="C79" s="1"/>
      <c r="D79" s="1"/>
      <c r="E79" s="1"/>
      <c r="F79" s="1"/>
      <c r="G79" s="1"/>
      <c r="H79" s="1"/>
      <c r="I79" s="1"/>
      <c r="J79" s="1"/>
    </row>
    <row r="80" spans="1:10" ht="18.3" x14ac:dyDescent="0.4">
      <c r="A80" s="140" t="s">
        <v>142</v>
      </c>
      <c r="B80" s="140"/>
      <c r="C80" s="140"/>
      <c r="D80" s="140"/>
      <c r="E80" s="140">
        <f>D72+D67</f>
        <v>230793.85584418636</v>
      </c>
      <c r="F80" s="140" t="s">
        <v>143</v>
      </c>
      <c r="G80" s="140"/>
      <c r="H80" s="140">
        <f>G72+G67</f>
        <v>230793.85584418633</v>
      </c>
      <c r="I80" s="1"/>
      <c r="J80" s="1"/>
    </row>
    <row r="81" spans="1:9" x14ac:dyDescent="0.3">
      <c r="A81" s="1"/>
      <c r="B81" s="1"/>
      <c r="C81" s="1"/>
      <c r="D81" s="1" t="s">
        <v>165</v>
      </c>
      <c r="E81" s="127">
        <f>E80-H80</f>
        <v>0</v>
      </c>
      <c r="F81" s="1"/>
      <c r="G81" s="1"/>
      <c r="H81" s="1"/>
      <c r="I81" s="1"/>
    </row>
    <row r="83" spans="1:9" x14ac:dyDescent="0.3">
      <c r="A83" s="1"/>
      <c r="B83" s="1"/>
      <c r="C83" s="1"/>
      <c r="D83" s="1"/>
      <c r="E83" s="1"/>
    </row>
    <row r="84" spans="1:9" x14ac:dyDescent="0.3">
      <c r="A84" s="1"/>
      <c r="B84" s="1"/>
      <c r="C84" s="1"/>
      <c r="D84" s="1"/>
      <c r="E84" s="1"/>
      <c r="H84" s="127"/>
    </row>
    <row r="85" spans="1:9" x14ac:dyDescent="0.3">
      <c r="A85" s="1"/>
      <c r="B85" s="1"/>
      <c r="C85" s="1"/>
      <c r="D85" s="1"/>
    </row>
  </sheetData>
  <mergeCells count="12">
    <mergeCell ref="A66:H66"/>
    <mergeCell ref="A3:G3"/>
    <mergeCell ref="A64:E65"/>
    <mergeCell ref="A11:E12"/>
    <mergeCell ref="A1:E2"/>
    <mergeCell ref="A37:E38"/>
    <mergeCell ref="F11:H12"/>
    <mergeCell ref="A13:H13"/>
    <mergeCell ref="F1:G2"/>
    <mergeCell ref="F37:H38"/>
    <mergeCell ref="A39:H39"/>
    <mergeCell ref="F64:H6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F7334-F741-45FD-8558-4747FB28965E}">
  <dimension ref="A1:D14"/>
  <sheetViews>
    <sheetView zoomScale="70" zoomScaleNormal="70" workbookViewId="0">
      <selection activeCell="A20" sqref="A20"/>
    </sheetView>
  </sheetViews>
  <sheetFormatPr baseColWidth="10" defaultRowHeight="14" x14ac:dyDescent="0.3"/>
  <cols>
    <col min="1" max="1" width="36.796875" customWidth="1"/>
    <col min="2" max="2" width="12.59765625" bestFit="1" customWidth="1"/>
    <col min="3" max="4" width="11.59765625" bestFit="1" customWidth="1"/>
  </cols>
  <sheetData>
    <row r="1" spans="1:4" x14ac:dyDescent="0.3">
      <c r="A1" s="168" t="s">
        <v>151</v>
      </c>
      <c r="B1" s="168" t="s">
        <v>73</v>
      </c>
      <c r="C1" s="168" t="s">
        <v>74</v>
      </c>
      <c r="D1" s="168" t="s">
        <v>75</v>
      </c>
    </row>
    <row r="2" spans="1:4" x14ac:dyDescent="0.3">
      <c r="A2" t="s">
        <v>150</v>
      </c>
      <c r="B2" s="1">
        <f>SUM('Invest initial'!E3:E10)</f>
        <v>188309.05</v>
      </c>
      <c r="D2" s="1"/>
    </row>
    <row r="3" spans="1:4" x14ac:dyDescent="0.3">
      <c r="A3" t="s">
        <v>178</v>
      </c>
      <c r="B3" s="108">
        <f>'FR, BFR, T'!B3</f>
        <v>1912.0247245179062</v>
      </c>
      <c r="C3" s="108">
        <f>'FR, BFR, T'!C3</f>
        <v>47.112038089273938</v>
      </c>
      <c r="D3" s="108">
        <f>'FR, BFR, T'!D3</f>
        <v>49559.16295250746</v>
      </c>
    </row>
    <row r="4" spans="1:4" x14ac:dyDescent="0.3">
      <c r="A4" t="s">
        <v>152</v>
      </c>
      <c r="B4" s="108">
        <f>'Emprunt fin'!F3</f>
        <v>13075.569677330932</v>
      </c>
      <c r="C4" s="108">
        <f>'Emprunt fin'!F4-'Emprunt fin'!F3</f>
        <v>8935.3322310833028</v>
      </c>
      <c r="D4" s="108">
        <f>'Emprunt fin'!F5-'Emprunt fin'!F4</f>
        <v>9114.0388757049659</v>
      </c>
    </row>
    <row r="5" spans="1:4" x14ac:dyDescent="0.3">
      <c r="A5" s="169" t="s">
        <v>153</v>
      </c>
      <c r="B5" s="170">
        <f>SUM(B2:B4)</f>
        <v>203296.64440184884</v>
      </c>
      <c r="C5" s="170">
        <f t="shared" ref="C5:D5" si="0">SUM(C2:C4)</f>
        <v>8982.4442691725762</v>
      </c>
      <c r="D5" s="170">
        <f t="shared" si="0"/>
        <v>58673.201828212426</v>
      </c>
    </row>
    <row r="7" spans="1:4" x14ac:dyDescent="0.3">
      <c r="A7" s="168" t="s">
        <v>154</v>
      </c>
      <c r="B7" s="168"/>
      <c r="C7" s="168"/>
      <c r="D7" s="168"/>
    </row>
    <row r="8" spans="1:4" x14ac:dyDescent="0.3">
      <c r="A8" s="130" t="s">
        <v>179</v>
      </c>
      <c r="B8" s="1">
        <f>Résultat!B44+Résultat!B31</f>
        <v>419.54874131741599</v>
      </c>
      <c r="C8" s="1">
        <f>Résultat!C44+Résultat!C31</f>
        <v>16950.503245714528</v>
      </c>
      <c r="D8" s="1">
        <f>Résultat!D44+Résultat!D31</f>
        <v>16505.641343781015</v>
      </c>
    </row>
    <row r="9" spans="1:4" x14ac:dyDescent="0.3">
      <c r="A9" t="s">
        <v>155</v>
      </c>
      <c r="B9">
        <f>'Emprunt fin'!G10</f>
        <v>150000</v>
      </c>
    </row>
    <row r="10" spans="1:4" x14ac:dyDescent="0.3">
      <c r="A10" t="s">
        <v>166</v>
      </c>
      <c r="B10" s="41">
        <f>Trésorerie!C139</f>
        <v>105000</v>
      </c>
      <c r="C10" s="41"/>
      <c r="D10" s="41"/>
    </row>
    <row r="11" spans="1:4" x14ac:dyDescent="0.3">
      <c r="A11" s="169" t="s">
        <v>156</v>
      </c>
      <c r="B11" s="170">
        <f>SUM(B8:B10)</f>
        <v>255419.54874131741</v>
      </c>
      <c r="C11" s="170">
        <f>SUM(C8:C10)</f>
        <v>16950.503245714528</v>
      </c>
      <c r="D11" s="170">
        <f>SUM(D8:D10)</f>
        <v>16505.641343781015</v>
      </c>
    </row>
    <row r="13" spans="1:4" x14ac:dyDescent="0.3">
      <c r="A13" s="42" t="s">
        <v>157</v>
      </c>
      <c r="B13" s="171">
        <f>B11-B5</f>
        <v>52122.904339468572</v>
      </c>
      <c r="C13" s="171">
        <f t="shared" ref="C13:D13" si="1">C11-C5</f>
        <v>7968.0589765419518</v>
      </c>
      <c r="D13" s="171">
        <f t="shared" si="1"/>
        <v>-42167.560484431408</v>
      </c>
    </row>
    <row r="14" spans="1:4" x14ac:dyDescent="0.3">
      <c r="A14" s="42" t="s">
        <v>158</v>
      </c>
      <c r="B14" s="171">
        <f>B13</f>
        <v>52122.904339468572</v>
      </c>
      <c r="C14" s="171">
        <f>B14+C13</f>
        <v>60090.963316010522</v>
      </c>
      <c r="D14" s="171">
        <f>C14+D13</f>
        <v>17923.402831579115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CAA5-885C-4261-B5F0-2AC3405028CD}">
  <dimension ref="A1:D4"/>
  <sheetViews>
    <sheetView zoomScale="55" zoomScaleNormal="55" workbookViewId="0">
      <selection activeCell="H18" sqref="H18"/>
    </sheetView>
  </sheetViews>
  <sheetFormatPr baseColWidth="10" defaultRowHeight="14" x14ac:dyDescent="0.3"/>
  <sheetData>
    <row r="1" spans="1:4" x14ac:dyDescent="0.3">
      <c r="A1" s="121"/>
      <c r="B1" s="150" t="s">
        <v>73</v>
      </c>
      <c r="C1" s="150" t="s">
        <v>74</v>
      </c>
      <c r="D1" s="150" t="s">
        <v>75</v>
      </c>
    </row>
    <row r="2" spans="1:4" x14ac:dyDescent="0.3">
      <c r="A2" s="149" t="s">
        <v>84</v>
      </c>
      <c r="B2" s="108">
        <f>Bilan!G14+Bilan!G21+Bilan!C16-Bilan!B16</f>
        <v>54034.929063986492</v>
      </c>
      <c r="C2" s="108">
        <f>Bilan!G40+Bilan!G46+Bilan!C42-Bilan!B42</f>
        <v>62050.100078617717</v>
      </c>
      <c r="D2" s="108">
        <f>Bilan!G67+Bilan!G73+Bilan!C69-Bilan!B69</f>
        <v>69441.702546693792</v>
      </c>
    </row>
    <row r="3" spans="1:4" x14ac:dyDescent="0.3">
      <c r="A3" s="149" t="s">
        <v>85</v>
      </c>
      <c r="B3" s="108">
        <f>Bilan!B22-Bilan!G22-Bilan!G23</f>
        <v>1912.0247245179062</v>
      </c>
      <c r="C3" s="108">
        <f>Bilan!B47-Bilan!G47-Bilan!G48</f>
        <v>47.112038089273938</v>
      </c>
      <c r="D3" s="108">
        <f>Bilan!D74-Bilan!G74-Bilan!G75+Bilan!B73</f>
        <v>49559.16295250746</v>
      </c>
    </row>
    <row r="4" spans="1:4" x14ac:dyDescent="0.3">
      <c r="A4" s="149" t="s">
        <v>86</v>
      </c>
      <c r="B4" s="108">
        <f>B2-B3</f>
        <v>52122.904339468587</v>
      </c>
      <c r="C4" s="108">
        <f t="shared" ref="C4:D4" si="0">C2-C3</f>
        <v>62002.988040528442</v>
      </c>
      <c r="D4" s="108">
        <f t="shared" si="0"/>
        <v>19882.539594186332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952D-7E89-4351-90B3-8AA954A2A805}">
  <dimension ref="A1:D16"/>
  <sheetViews>
    <sheetView zoomScale="55" zoomScaleNormal="55" workbookViewId="0">
      <selection activeCell="E23" sqref="E23"/>
    </sheetView>
  </sheetViews>
  <sheetFormatPr baseColWidth="10" defaultRowHeight="14" x14ac:dyDescent="0.3"/>
  <cols>
    <col min="1" max="1" width="16.69921875" bestFit="1" customWidth="1"/>
    <col min="2" max="2" width="15" bestFit="1" customWidth="1"/>
  </cols>
  <sheetData>
    <row r="1" spans="1:4" x14ac:dyDescent="0.3">
      <c r="A1" s="42" t="s">
        <v>73</v>
      </c>
    </row>
    <row r="2" spans="1:4" x14ac:dyDescent="0.3">
      <c r="A2" s="174" t="s">
        <v>184</v>
      </c>
      <c r="B2" s="174" t="s">
        <v>180</v>
      </c>
      <c r="C2" s="174" t="s">
        <v>181</v>
      </c>
      <c r="D2" s="174" t="s">
        <v>182</v>
      </c>
    </row>
    <row r="3" spans="1:4" x14ac:dyDescent="0.3">
      <c r="A3" s="172">
        <v>423.42493333333334</v>
      </c>
      <c r="B3">
        <f>SUM('Invest initial'!I5:Z5)</f>
        <v>150</v>
      </c>
      <c r="C3" s="172">
        <f>500/15</f>
        <v>33.333333333333336</v>
      </c>
      <c r="D3">
        <f>SUM(Résultat!B15:B33)</f>
        <v>58513.738749999997</v>
      </c>
    </row>
    <row r="7" spans="1:4" x14ac:dyDescent="0.3">
      <c r="A7">
        <f>A3*B3</f>
        <v>63513.74</v>
      </c>
      <c r="B7" s="173" t="s">
        <v>183</v>
      </c>
      <c r="C7">
        <f>(B3*C3)+D3</f>
        <v>63513.738749999997</v>
      </c>
    </row>
    <row r="10" spans="1:4" ht="15.6" x14ac:dyDescent="0.35">
      <c r="A10" s="175" t="s">
        <v>74</v>
      </c>
    </row>
    <row r="11" spans="1:4" x14ac:dyDescent="0.3">
      <c r="A11" s="174" t="s">
        <v>184</v>
      </c>
      <c r="B11" s="174" t="s">
        <v>180</v>
      </c>
      <c r="C11" s="174" t="s">
        <v>181</v>
      </c>
      <c r="D11" s="174" t="s">
        <v>182</v>
      </c>
    </row>
    <row r="12" spans="1:4" x14ac:dyDescent="0.3">
      <c r="A12" s="172">
        <v>294.18050000000017</v>
      </c>
      <c r="B12">
        <f>15*12</f>
        <v>180</v>
      </c>
      <c r="C12" s="172">
        <f>500/15</f>
        <v>33.333333333333336</v>
      </c>
      <c r="D12">
        <f>SUM(Résultat!C15:C33)</f>
        <v>46952.4925</v>
      </c>
    </row>
    <row r="16" spans="1:4" x14ac:dyDescent="0.3">
      <c r="A16">
        <f>A12*B12</f>
        <v>52952.490000000027</v>
      </c>
      <c r="B16" s="173" t="s">
        <v>183</v>
      </c>
      <c r="C16">
        <f>(B12*C12)+D12</f>
        <v>52952.4925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DB7D-334A-4515-9852-AF723ACB078B}">
  <dimension ref="A1:Z22"/>
  <sheetViews>
    <sheetView zoomScale="40" zoomScaleNormal="40" workbookViewId="0">
      <selection activeCell="AA13" sqref="AA13"/>
    </sheetView>
  </sheetViews>
  <sheetFormatPr baseColWidth="10" defaultRowHeight="14" x14ac:dyDescent="0.3"/>
  <cols>
    <col min="5" max="5" width="13" bestFit="1" customWidth="1"/>
    <col min="8" max="8" width="11.19921875" hidden="1" customWidth="1"/>
    <col min="9" max="9" width="7.796875" bestFit="1" customWidth="1"/>
    <col min="10" max="10" width="7.5" bestFit="1" customWidth="1"/>
    <col min="11" max="11" width="6.5" customWidth="1"/>
    <col min="12" max="12" width="7.8984375" bestFit="1" customWidth="1"/>
    <col min="13" max="26" width="6.5" customWidth="1"/>
  </cols>
  <sheetData>
    <row r="1" spans="1:26" ht="15.05" x14ac:dyDescent="0.35">
      <c r="A1" s="5" t="s">
        <v>3</v>
      </c>
      <c r="B1" s="6"/>
      <c r="C1" s="6"/>
      <c r="D1" s="7"/>
      <c r="E1" s="8"/>
    </row>
    <row r="2" spans="1:26" ht="15.05" x14ac:dyDescent="0.35">
      <c r="A2" s="9"/>
      <c r="B2" s="10"/>
      <c r="C2" s="10"/>
      <c r="E2" s="11"/>
    </row>
    <row r="3" spans="1:26" ht="15.05" x14ac:dyDescent="0.35">
      <c r="A3" s="9" t="s">
        <v>4</v>
      </c>
      <c r="B3" s="10"/>
      <c r="C3" s="10"/>
      <c r="E3" s="11">
        <f>15*2600</f>
        <v>39000</v>
      </c>
      <c r="G3" s="31" t="s">
        <v>21</v>
      </c>
      <c r="H3" s="32"/>
      <c r="I3" s="32">
        <v>1</v>
      </c>
      <c r="J3" s="32">
        <v>2</v>
      </c>
      <c r="K3" s="32">
        <v>3</v>
      </c>
      <c r="L3" s="32">
        <v>4</v>
      </c>
      <c r="M3" s="32">
        <v>5</v>
      </c>
      <c r="N3" s="32">
        <v>6</v>
      </c>
      <c r="O3" s="32">
        <v>7</v>
      </c>
      <c r="P3" s="32">
        <v>8</v>
      </c>
      <c r="Q3" s="32">
        <v>9</v>
      </c>
      <c r="R3" s="32">
        <v>10</v>
      </c>
      <c r="S3" s="32">
        <v>11</v>
      </c>
      <c r="T3" s="32">
        <v>12</v>
      </c>
      <c r="U3" s="32">
        <v>13</v>
      </c>
      <c r="V3" s="32">
        <v>14</v>
      </c>
      <c r="W3" s="32">
        <v>15</v>
      </c>
      <c r="X3" s="32">
        <v>16</v>
      </c>
      <c r="Y3" s="32">
        <v>17</v>
      </c>
      <c r="Z3" s="33">
        <v>18</v>
      </c>
    </row>
    <row r="4" spans="1:26" ht="15.05" x14ac:dyDescent="0.35">
      <c r="A4" s="9" t="s">
        <v>5</v>
      </c>
      <c r="B4" s="10"/>
      <c r="C4" s="10"/>
      <c r="E4" s="11">
        <f>15*763.18</f>
        <v>11447.699999999999</v>
      </c>
      <c r="G4" s="34"/>
      <c r="H4" s="133"/>
      <c r="I4" s="35"/>
      <c r="J4" s="35"/>
      <c r="K4" s="35"/>
      <c r="L4" s="35"/>
      <c r="M4" s="35"/>
      <c r="N4" s="35"/>
      <c r="O4" s="35"/>
      <c r="P4" s="35"/>
      <c r="Q4" s="35"/>
      <c r="R4" s="35"/>
      <c r="S4" s="35"/>
      <c r="T4" s="35"/>
      <c r="U4" s="35"/>
      <c r="V4" s="35"/>
      <c r="W4" s="35"/>
      <c r="X4" s="35"/>
      <c r="Y4" s="35"/>
      <c r="Z4" s="36"/>
    </row>
    <row r="5" spans="1:26" ht="15.05" x14ac:dyDescent="0.35">
      <c r="A5" s="9" t="s">
        <v>6</v>
      </c>
      <c r="B5" s="10"/>
      <c r="C5" s="10"/>
      <c r="E5" s="11">
        <f>15*940.93</f>
        <v>14113.949999999999</v>
      </c>
      <c r="G5" s="37" t="s">
        <v>22</v>
      </c>
      <c r="H5" s="38"/>
      <c r="I5" s="38">
        <v>0</v>
      </c>
      <c r="J5" s="38">
        <v>0</v>
      </c>
      <c r="K5" s="38">
        <v>0</v>
      </c>
      <c r="L5" s="38">
        <v>0</v>
      </c>
      <c r="M5" s="38">
        <v>0</v>
      </c>
      <c r="N5" s="38">
        <v>0</v>
      </c>
      <c r="O5" s="38">
        <v>3</v>
      </c>
      <c r="P5" s="38">
        <v>6</v>
      </c>
      <c r="Q5" s="38">
        <v>9</v>
      </c>
      <c r="R5" s="38">
        <v>12</v>
      </c>
      <c r="S5" s="38">
        <v>15</v>
      </c>
      <c r="T5" s="38">
        <f>S5</f>
        <v>15</v>
      </c>
      <c r="U5" s="38">
        <f t="shared" ref="U5:Z5" si="0">T5</f>
        <v>15</v>
      </c>
      <c r="V5" s="38">
        <f t="shared" si="0"/>
        <v>15</v>
      </c>
      <c r="W5" s="38">
        <f t="shared" si="0"/>
        <v>15</v>
      </c>
      <c r="X5" s="38">
        <f t="shared" si="0"/>
        <v>15</v>
      </c>
      <c r="Y5" s="38">
        <f t="shared" si="0"/>
        <v>15</v>
      </c>
      <c r="Z5" s="39">
        <f t="shared" si="0"/>
        <v>15</v>
      </c>
    </row>
    <row r="6" spans="1:26" ht="15.05" x14ac:dyDescent="0.35">
      <c r="A6" s="9" t="s">
        <v>7</v>
      </c>
      <c r="B6" s="10"/>
      <c r="C6" s="10"/>
      <c r="E6" s="11">
        <f>15*1847.08</f>
        <v>27706.199999999997</v>
      </c>
    </row>
    <row r="7" spans="1:26" ht="15.05" x14ac:dyDescent="0.35">
      <c r="A7" s="9" t="s">
        <v>8</v>
      </c>
      <c r="B7" s="10"/>
      <c r="C7" s="10"/>
      <c r="E7" s="11">
        <f>15*965.57</f>
        <v>14483.550000000001</v>
      </c>
    </row>
    <row r="8" spans="1:26" ht="15.05" x14ac:dyDescent="0.35">
      <c r="A8" s="9" t="s">
        <v>9</v>
      </c>
      <c r="B8" s="10"/>
      <c r="C8" s="10"/>
      <c r="E8" s="11">
        <f>2229.51*15</f>
        <v>33442.65</v>
      </c>
    </row>
    <row r="9" spans="1:26" ht="15.05" x14ac:dyDescent="0.35">
      <c r="A9" s="9" t="s">
        <v>10</v>
      </c>
      <c r="B9" s="10"/>
      <c r="C9" s="10"/>
      <c r="E9" s="11">
        <f>541*15</f>
        <v>8115</v>
      </c>
      <c r="G9" s="189" t="s">
        <v>35</v>
      </c>
      <c r="H9" s="191"/>
      <c r="I9" s="195" t="s">
        <v>185</v>
      </c>
      <c r="J9" s="189" t="s">
        <v>36</v>
      </c>
      <c r="K9" s="190"/>
      <c r="L9" s="189" t="s">
        <v>37</v>
      </c>
      <c r="M9" s="191"/>
      <c r="N9" s="191"/>
      <c r="O9" s="191"/>
      <c r="P9" s="190"/>
    </row>
    <row r="10" spans="1:26" ht="15.05" x14ac:dyDescent="0.35">
      <c r="A10" s="9" t="s">
        <v>11</v>
      </c>
      <c r="B10" s="10"/>
      <c r="C10" s="10"/>
      <c r="E10" s="11">
        <v>40000</v>
      </c>
      <c r="G10" s="44"/>
      <c r="H10" s="45"/>
      <c r="I10" s="45"/>
      <c r="J10" s="46" t="s">
        <v>38</v>
      </c>
      <c r="K10" s="46" t="s">
        <v>39</v>
      </c>
      <c r="L10" s="47" t="s">
        <v>187</v>
      </c>
      <c r="M10" s="47"/>
      <c r="N10" s="47" t="s">
        <v>40</v>
      </c>
      <c r="O10" s="47"/>
      <c r="P10" s="48" t="s">
        <v>41</v>
      </c>
    </row>
    <row r="11" spans="1:26" ht="15.05" x14ac:dyDescent="0.35">
      <c r="A11" s="9" t="s">
        <v>12</v>
      </c>
      <c r="B11" s="10"/>
      <c r="C11" s="10"/>
      <c r="E11" s="11">
        <f>SUM(E3:E9)*0.21</f>
        <v>31144.900499999996</v>
      </c>
      <c r="G11" s="49" t="s">
        <v>42</v>
      </c>
      <c r="H11" s="50"/>
      <c r="I11" s="50" t="s">
        <v>186</v>
      </c>
      <c r="J11" s="51">
        <f>SUM(E3:E10)</f>
        <v>188309.05</v>
      </c>
      <c r="K11" s="109">
        <v>0.05</v>
      </c>
      <c r="L11" s="51">
        <f>J11*K11*18/12</f>
        <v>14123.178749999999</v>
      </c>
      <c r="M11" s="51"/>
      <c r="N11" s="51">
        <f>J11*K11</f>
        <v>9415.4524999999994</v>
      </c>
      <c r="O11" s="51"/>
      <c r="P11" s="52">
        <f>N11</f>
        <v>9415.4524999999994</v>
      </c>
    </row>
    <row r="12" spans="1:26" ht="15.05" x14ac:dyDescent="0.35">
      <c r="A12" s="9" t="s">
        <v>13</v>
      </c>
      <c r="B12" s="10"/>
      <c r="C12" s="10"/>
      <c r="E12" s="11">
        <v>1500</v>
      </c>
      <c r="G12" s="53"/>
      <c r="H12" s="192"/>
      <c r="I12" s="54"/>
      <c r="J12" s="55"/>
      <c r="K12" s="56"/>
      <c r="L12" s="55"/>
      <c r="M12" s="55"/>
      <c r="N12" s="55"/>
      <c r="O12" s="55"/>
      <c r="P12" s="57"/>
    </row>
    <row r="13" spans="1:26" ht="15.05" x14ac:dyDescent="0.35">
      <c r="A13" s="12" t="s">
        <v>14</v>
      </c>
      <c r="B13" s="13"/>
      <c r="C13" s="13"/>
      <c r="D13" s="14"/>
      <c r="E13" s="15">
        <f>SUM(E3:E12)</f>
        <v>220953.95049999998</v>
      </c>
      <c r="G13" s="53"/>
      <c r="H13" s="192"/>
      <c r="I13" s="54"/>
      <c r="J13" s="55"/>
      <c r="K13" s="147"/>
      <c r="L13" s="54"/>
      <c r="M13" s="54"/>
      <c r="N13" s="55"/>
      <c r="O13" s="54"/>
      <c r="P13" s="57"/>
    </row>
    <row r="14" spans="1:26" ht="15.05" x14ac:dyDescent="0.35">
      <c r="A14" s="10"/>
      <c r="B14" s="10"/>
      <c r="C14" s="10"/>
      <c r="E14" s="16"/>
      <c r="G14" s="58"/>
      <c r="H14" s="193"/>
      <c r="I14" s="54"/>
      <c r="J14" s="54"/>
      <c r="K14" s="54"/>
      <c r="L14" s="54"/>
      <c r="M14" s="54"/>
      <c r="N14" s="54"/>
      <c r="O14" s="54"/>
      <c r="P14" s="59"/>
    </row>
    <row r="15" spans="1:26" ht="15.05" x14ac:dyDescent="0.35">
      <c r="A15" s="10"/>
      <c r="B15" s="10"/>
      <c r="C15" s="10"/>
      <c r="E15" s="16"/>
      <c r="G15" s="60"/>
      <c r="H15" s="194"/>
      <c r="I15" s="61" t="s">
        <v>2</v>
      </c>
      <c r="J15" s="62">
        <f>SUM(J11:J14)</f>
        <v>188309.05</v>
      </c>
      <c r="K15" s="63"/>
      <c r="L15" s="64">
        <f>SUM(L11:L14)</f>
        <v>14123.178749999999</v>
      </c>
      <c r="M15" s="64"/>
      <c r="N15" s="64">
        <f>SUM(N11:N14)</f>
        <v>9415.4524999999994</v>
      </c>
      <c r="O15" s="64"/>
      <c r="P15" s="65">
        <f>SUM(P11:P14)</f>
        <v>9415.4524999999994</v>
      </c>
    </row>
    <row r="16" spans="1:26" ht="15.05" x14ac:dyDescent="0.35">
      <c r="A16" s="5" t="s">
        <v>15</v>
      </c>
      <c r="B16" s="6"/>
      <c r="C16" s="6"/>
      <c r="D16" s="17"/>
      <c r="E16" s="18"/>
    </row>
    <row r="17" spans="1:5" ht="15.05" x14ac:dyDescent="0.35">
      <c r="A17" s="19" t="s">
        <v>16</v>
      </c>
      <c r="B17" s="10"/>
      <c r="C17" s="10"/>
      <c r="E17" s="20">
        <v>5000</v>
      </c>
    </row>
    <row r="18" spans="1:5" x14ac:dyDescent="0.3">
      <c r="A18" s="9" t="s">
        <v>17</v>
      </c>
      <c r="B18" s="10"/>
      <c r="C18" s="10"/>
      <c r="E18" s="21">
        <v>150000</v>
      </c>
    </row>
    <row r="19" spans="1:5" ht="15.05" x14ac:dyDescent="0.35">
      <c r="A19" s="19" t="s">
        <v>149</v>
      </c>
      <c r="B19" s="10"/>
      <c r="C19" s="10"/>
      <c r="E19" s="20">
        <v>100000</v>
      </c>
    </row>
    <row r="20" spans="1:5" ht="15.05" x14ac:dyDescent="0.35">
      <c r="A20" s="22" t="s">
        <v>18</v>
      </c>
      <c r="B20" s="23"/>
      <c r="C20" s="23"/>
      <c r="D20" s="24"/>
      <c r="E20" s="25">
        <f>SUM(E17:E19)</f>
        <v>255000</v>
      </c>
    </row>
    <row r="21" spans="1:5" ht="15.05" x14ac:dyDescent="0.35">
      <c r="A21" s="10"/>
      <c r="B21" s="10"/>
      <c r="C21" s="10"/>
      <c r="E21" s="26"/>
    </row>
    <row r="22" spans="1:5" ht="15.05" x14ac:dyDescent="0.35">
      <c r="A22" s="27" t="s">
        <v>19</v>
      </c>
      <c r="B22" s="28"/>
      <c r="C22" s="28"/>
      <c r="D22" s="29"/>
      <c r="E22" s="30">
        <f>E20-E13</f>
        <v>34046.049500000023</v>
      </c>
    </row>
  </sheetData>
  <mergeCells count="3">
    <mergeCell ref="J9:K9"/>
    <mergeCell ref="L9:P9"/>
    <mergeCell ref="G9:H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419A-10FB-4A07-B8A0-EE1598CE877D}">
  <dimension ref="A2:H198"/>
  <sheetViews>
    <sheetView topLeftCell="A43" zoomScale="40" zoomScaleNormal="40" workbookViewId="0">
      <selection activeCell="A2" sqref="A2:H60"/>
    </sheetView>
  </sheetViews>
  <sheetFormatPr baseColWidth="10" defaultRowHeight="14" x14ac:dyDescent="0.3"/>
  <cols>
    <col min="1" max="1" width="7.69921875" customWidth="1"/>
    <col min="2" max="2" width="9.09765625" customWidth="1"/>
    <col min="7" max="7" width="14.296875" customWidth="1"/>
    <col min="8" max="8" width="12.59765625" bestFit="1" customWidth="1"/>
  </cols>
  <sheetData>
    <row r="2" spans="1:8" ht="14.55" x14ac:dyDescent="0.35">
      <c r="A2" s="66"/>
      <c r="B2" s="67" t="s">
        <v>46</v>
      </c>
      <c r="C2" s="67" t="s">
        <v>47</v>
      </c>
      <c r="D2" s="67" t="s">
        <v>48</v>
      </c>
      <c r="E2" s="67" t="s">
        <v>49</v>
      </c>
      <c r="F2" s="67" t="s">
        <v>50</v>
      </c>
      <c r="G2" s="68" t="s">
        <v>51</v>
      </c>
      <c r="H2" s="68" t="s">
        <v>52</v>
      </c>
    </row>
    <row r="3" spans="1:8" ht="14.55" x14ac:dyDescent="0.35">
      <c r="A3" s="66" t="s">
        <v>53</v>
      </c>
      <c r="B3" s="69">
        <v>18</v>
      </c>
      <c r="C3" s="69">
        <f t="shared" ref="C3:C8" si="0">VLOOKUP(B3,A$17:H$138,5)</f>
        <v>4276.6681181867198</v>
      </c>
      <c r="D3" s="69">
        <f>C3</f>
        <v>4276.6681181867198</v>
      </c>
      <c r="E3" s="69">
        <f t="shared" ref="E3:E8" si="1">VLOOKUP(B3,A$17:H$138,8)</f>
        <v>136924.43032266907</v>
      </c>
      <c r="F3" s="69">
        <f t="shared" ref="F3:F8" si="2">G$10-E3</f>
        <v>13075.569677330932</v>
      </c>
      <c r="G3" s="69">
        <f t="shared" ref="G3:G8" si="3">E3-E4</f>
        <v>8935.3322310833028</v>
      </c>
      <c r="H3" s="69">
        <f t="shared" ref="H3:H8" si="4">E3-G3</f>
        <v>127989.09809158577</v>
      </c>
    </row>
    <row r="4" spans="1:8" ht="14.55" x14ac:dyDescent="0.35">
      <c r="A4" s="66" t="s">
        <v>54</v>
      </c>
      <c r="B4" s="69">
        <f>B3+12</f>
        <v>30</v>
      </c>
      <c r="C4" s="69">
        <f t="shared" si="0"/>
        <v>6909.4944174485181</v>
      </c>
      <c r="D4" s="69">
        <f>C4-D3</f>
        <v>2632.8262992617983</v>
      </c>
      <c r="E4" s="69">
        <f t="shared" si="1"/>
        <v>127989.09809158577</v>
      </c>
      <c r="F4" s="69">
        <f t="shared" si="2"/>
        <v>22010.901908414235</v>
      </c>
      <c r="G4" s="69">
        <f t="shared" si="3"/>
        <v>9114.0388757049659</v>
      </c>
      <c r="H4" s="69">
        <f t="shared" si="4"/>
        <v>118875.0592158808</v>
      </c>
    </row>
    <row r="5" spans="1:8" ht="14.55" x14ac:dyDescent="0.35">
      <c r="A5" s="66" t="s">
        <v>55</v>
      </c>
      <c r="B5" s="69">
        <f>B4+12</f>
        <v>42</v>
      </c>
      <c r="C5" s="69">
        <f t="shared" si="0"/>
        <v>9363.6140720886415</v>
      </c>
      <c r="D5" s="69">
        <f>C5-C4</f>
        <v>2454.1196546401234</v>
      </c>
      <c r="E5" s="69">
        <f t="shared" si="1"/>
        <v>118875.0592158808</v>
      </c>
      <c r="F5" s="69">
        <f t="shared" si="2"/>
        <v>31124.940784119201</v>
      </c>
      <c r="G5" s="69">
        <f t="shared" si="3"/>
        <v>9296.3196532190777</v>
      </c>
      <c r="H5" s="69">
        <f t="shared" si="4"/>
        <v>109578.73956266172</v>
      </c>
    </row>
    <row r="6" spans="1:8" ht="14.55" x14ac:dyDescent="0.35">
      <c r="A6" s="66" t="s">
        <v>56</v>
      </c>
      <c r="B6" s="69">
        <f>B5+12</f>
        <v>54</v>
      </c>
      <c r="C6" s="69">
        <f t="shared" si="0"/>
        <v>11635.452949214663</v>
      </c>
      <c r="D6" s="69">
        <f>C6-C5</f>
        <v>2271.8388771260215</v>
      </c>
      <c r="E6" s="69">
        <f t="shared" si="1"/>
        <v>109578.73956266172</v>
      </c>
      <c r="F6" s="69">
        <f t="shared" si="2"/>
        <v>40421.260437338278</v>
      </c>
      <c r="G6" s="69">
        <f t="shared" si="3"/>
        <v>9482.2460462834424</v>
      </c>
      <c r="H6" s="69">
        <f t="shared" si="4"/>
        <v>100096.49351637828</v>
      </c>
    </row>
    <row r="7" spans="1:8" ht="14.55" x14ac:dyDescent="0.35">
      <c r="A7" s="66" t="s">
        <v>57</v>
      </c>
      <c r="B7" s="69">
        <f>B6+12</f>
        <v>66</v>
      </c>
      <c r="C7" s="69">
        <f t="shared" si="0"/>
        <v>13721.365433276298</v>
      </c>
      <c r="D7" s="69">
        <f>C7-C6</f>
        <v>2085.912484061635</v>
      </c>
      <c r="E7" s="69">
        <f t="shared" si="1"/>
        <v>100096.49351637828</v>
      </c>
      <c r="F7" s="69">
        <f t="shared" si="2"/>
        <v>49903.506483621721</v>
      </c>
      <c r="G7" s="69">
        <f t="shared" si="3"/>
        <v>9671.8909672091249</v>
      </c>
      <c r="H7" s="69">
        <f t="shared" si="4"/>
        <v>90424.602549169154</v>
      </c>
    </row>
    <row r="8" spans="1:8" ht="14.55" x14ac:dyDescent="0.35">
      <c r="A8" s="66" t="s">
        <v>58</v>
      </c>
      <c r="B8" s="69">
        <f>B7+12</f>
        <v>78</v>
      </c>
      <c r="C8" s="69">
        <f t="shared" si="0"/>
        <v>15617.63299641226</v>
      </c>
      <c r="D8" s="69">
        <f>C8-C7</f>
        <v>1896.2675631359616</v>
      </c>
      <c r="E8" s="69">
        <f t="shared" si="1"/>
        <v>90424.602549169154</v>
      </c>
      <c r="F8" s="69">
        <f t="shared" si="2"/>
        <v>59575.397450830846</v>
      </c>
      <c r="G8" s="69">
        <f t="shared" si="3"/>
        <v>90424.602549169154</v>
      </c>
      <c r="H8" s="69">
        <f t="shared" si="4"/>
        <v>0</v>
      </c>
    </row>
    <row r="9" spans="1:8" ht="16.149999999999999" thickBot="1" x14ac:dyDescent="0.4">
      <c r="A9" s="70"/>
      <c r="B9" s="71"/>
      <c r="C9" s="72"/>
      <c r="D9" s="71"/>
      <c r="E9" s="73"/>
      <c r="F9" s="74"/>
      <c r="G9" s="74"/>
      <c r="H9" s="75"/>
    </row>
    <row r="10" spans="1:8" ht="15.05" thickBot="1" x14ac:dyDescent="0.4">
      <c r="A10" s="70"/>
      <c r="B10" s="76"/>
      <c r="C10" s="74"/>
      <c r="D10" s="74"/>
      <c r="E10" s="74"/>
      <c r="F10" s="77" t="s">
        <v>59</v>
      </c>
      <c r="G10" s="78">
        <v>150000</v>
      </c>
      <c r="H10" s="76"/>
    </row>
    <row r="11" spans="1:8" ht="14.55" x14ac:dyDescent="0.35">
      <c r="A11" s="79" t="s">
        <v>60</v>
      </c>
      <c r="B11" s="80" t="s">
        <v>61</v>
      </c>
      <c r="C11" s="81" t="s">
        <v>62</v>
      </c>
      <c r="D11" s="76"/>
      <c r="E11" s="76"/>
      <c r="F11" s="76"/>
      <c r="G11" s="76"/>
      <c r="H11" s="82"/>
    </row>
    <row r="12" spans="1:8" ht="14.55" x14ac:dyDescent="0.35">
      <c r="A12" s="83">
        <v>2</v>
      </c>
      <c r="B12" s="84">
        <f>(1+A12/100)^(G14/12)</f>
        <v>1.0016515813019202</v>
      </c>
      <c r="C12" s="85">
        <f>B12-1</f>
        <v>1.6515813019202241E-3</v>
      </c>
      <c r="D12" s="76"/>
      <c r="E12" s="76"/>
      <c r="F12" s="73" t="s">
        <v>63</v>
      </c>
      <c r="G12" s="86">
        <f>15*12</f>
        <v>180</v>
      </c>
      <c r="H12" s="87" t="s">
        <v>64</v>
      </c>
    </row>
    <row r="13" spans="1:8" ht="14.55" x14ac:dyDescent="0.35">
      <c r="A13" s="70"/>
      <c r="B13" s="76"/>
      <c r="C13" s="76"/>
      <c r="D13" s="76"/>
      <c r="E13" s="76"/>
      <c r="F13" s="75" t="s">
        <v>65</v>
      </c>
      <c r="G13" s="88">
        <v>44197</v>
      </c>
      <c r="H13" s="89"/>
    </row>
    <row r="14" spans="1:8" ht="14.55" x14ac:dyDescent="0.35">
      <c r="A14" s="70"/>
      <c r="B14" s="76"/>
      <c r="C14" s="76"/>
      <c r="D14" s="74"/>
      <c r="E14" s="76"/>
      <c r="F14" s="90" t="s">
        <v>66</v>
      </c>
      <c r="G14" s="91">
        <v>1</v>
      </c>
      <c r="H14" s="76" t="s">
        <v>64</v>
      </c>
    </row>
    <row r="15" spans="1:8" ht="14.55" x14ac:dyDescent="0.35">
      <c r="A15" s="70"/>
      <c r="B15" s="92"/>
      <c r="C15" s="92"/>
      <c r="D15" s="92"/>
      <c r="E15" s="92"/>
      <c r="F15" s="92"/>
      <c r="G15" s="92"/>
      <c r="H15" s="76"/>
    </row>
    <row r="16" spans="1:8" ht="14.55" x14ac:dyDescent="0.35">
      <c r="A16" s="70"/>
      <c r="B16" s="76"/>
      <c r="C16" s="76"/>
      <c r="D16" s="76"/>
      <c r="E16" s="76"/>
      <c r="F16" s="76"/>
      <c r="G16" s="76"/>
      <c r="H16" s="93"/>
    </row>
    <row r="17" spans="1:8" ht="14.55" x14ac:dyDescent="0.35">
      <c r="A17" s="196" t="s">
        <v>46</v>
      </c>
      <c r="B17" s="94" t="s">
        <v>67</v>
      </c>
      <c r="C17" s="95" t="s">
        <v>68</v>
      </c>
      <c r="D17" s="96" t="s">
        <v>69</v>
      </c>
      <c r="E17" s="96" t="s">
        <v>47</v>
      </c>
      <c r="F17" s="96" t="s">
        <v>70</v>
      </c>
      <c r="G17" s="97" t="s">
        <v>71</v>
      </c>
      <c r="H17" s="97" t="s">
        <v>72</v>
      </c>
    </row>
    <row r="18" spans="1:8" ht="14.55" x14ac:dyDescent="0.35">
      <c r="A18" s="98">
        <v>0</v>
      </c>
      <c r="B18" s="99"/>
      <c r="C18" s="100">
        <v>0</v>
      </c>
      <c r="D18" s="100">
        <v>0</v>
      </c>
      <c r="E18" s="100">
        <v>0</v>
      </c>
      <c r="F18" s="100">
        <v>0</v>
      </c>
      <c r="G18" s="100">
        <v>0</v>
      </c>
      <c r="H18" s="100">
        <f>G10</f>
        <v>150000</v>
      </c>
    </row>
    <row r="19" spans="1:8" ht="14.55" x14ac:dyDescent="0.35">
      <c r="A19" s="101">
        <v>1</v>
      </c>
      <c r="B19" s="102">
        <f>G13+31*G14</f>
        <v>44228</v>
      </c>
      <c r="C19" s="103">
        <f>(G$10*C12/(1-(B12)^-(G$12/G14)))</f>
        <v>964.01321086209146</v>
      </c>
      <c r="D19" s="103">
        <f>G10*C12</f>
        <v>247.7371952880336</v>
      </c>
      <c r="E19" s="103">
        <f>D19</f>
        <v>247.7371952880336</v>
      </c>
      <c r="F19" s="103">
        <f>C19-D19</f>
        <v>716.27601557405785</v>
      </c>
      <c r="G19" s="103">
        <f>F19</f>
        <v>716.27601557405785</v>
      </c>
      <c r="H19" s="103">
        <f>G$10-G19</f>
        <v>149283.72398442595</v>
      </c>
    </row>
    <row r="20" spans="1:8" ht="14.55" x14ac:dyDescent="0.35">
      <c r="A20" s="101">
        <v>2</v>
      </c>
      <c r="B20" s="104">
        <f t="shared" ref="B20:B83" si="5">IF(H19&lt;0.5,"",B19+(30.4375)*G$14)</f>
        <v>44258.4375</v>
      </c>
      <c r="C20" s="103">
        <f t="shared" ref="C20:C83" si="6">IF(H19&lt;0.5,0,C19)</f>
        <v>964.01321086209146</v>
      </c>
      <c r="D20" s="103">
        <f t="shared" ref="D20:D83" si="7">IF(H19&lt;0.5,0,H19*C$12)</f>
        <v>246.55420721369759</v>
      </c>
      <c r="E20" s="103">
        <f t="shared" ref="E20:E83" si="8">IF(H19&lt;0.5,0,E19+D20)</f>
        <v>494.29140250173123</v>
      </c>
      <c r="F20" s="103">
        <f t="shared" ref="F20:F83" si="9">IF(H19&lt;0.5,0,C20-D20)</f>
        <v>717.45900364839383</v>
      </c>
      <c r="G20" s="103">
        <f t="shared" ref="G20:G83" si="10">IF(H19&lt;0.5,0,F20+G19)</f>
        <v>1433.7350192224517</v>
      </c>
      <c r="H20" s="103">
        <f t="shared" ref="H20:H83" si="11">IF(H19&lt;0.5,0,G$10-G20)</f>
        <v>148566.26498077755</v>
      </c>
    </row>
    <row r="21" spans="1:8" ht="14.55" x14ac:dyDescent="0.35">
      <c r="A21" s="101">
        <v>3</v>
      </c>
      <c r="B21" s="104">
        <f t="shared" si="5"/>
        <v>44288.875</v>
      </c>
      <c r="C21" s="103">
        <f t="shared" si="6"/>
        <v>964.01321086209146</v>
      </c>
      <c r="D21" s="103">
        <f t="shared" si="7"/>
        <v>245.36926533837757</v>
      </c>
      <c r="E21" s="103">
        <f t="shared" si="8"/>
        <v>739.66066784010877</v>
      </c>
      <c r="F21" s="103">
        <f t="shared" si="9"/>
        <v>718.64394552371391</v>
      </c>
      <c r="G21" s="103">
        <f t="shared" si="10"/>
        <v>2152.3789647461654</v>
      </c>
      <c r="H21" s="103">
        <f t="shared" si="11"/>
        <v>147847.62103525383</v>
      </c>
    </row>
    <row r="22" spans="1:8" ht="14.55" x14ac:dyDescent="0.35">
      <c r="A22" s="101">
        <v>4</v>
      </c>
      <c r="B22" s="104">
        <f t="shared" si="5"/>
        <v>44319.3125</v>
      </c>
      <c r="C22" s="103">
        <f t="shared" si="6"/>
        <v>964.01321086209146</v>
      </c>
      <c r="D22" s="103">
        <f t="shared" si="7"/>
        <v>244.18236643521243</v>
      </c>
      <c r="E22" s="103">
        <f t="shared" si="8"/>
        <v>983.8430342753212</v>
      </c>
      <c r="F22" s="103">
        <f t="shared" si="9"/>
        <v>719.83084442687903</v>
      </c>
      <c r="G22" s="103">
        <f t="shared" si="10"/>
        <v>2872.2098091730445</v>
      </c>
      <c r="H22" s="103">
        <f t="shared" si="11"/>
        <v>147127.79019082696</v>
      </c>
    </row>
    <row r="23" spans="1:8" ht="14.55" x14ac:dyDescent="0.35">
      <c r="A23" s="101">
        <v>5</v>
      </c>
      <c r="B23" s="104">
        <f t="shared" si="5"/>
        <v>44349.75</v>
      </c>
      <c r="C23" s="103">
        <f t="shared" si="6"/>
        <v>964.01321086209146</v>
      </c>
      <c r="D23" s="103">
        <f t="shared" si="7"/>
        <v>242.99350727201156</v>
      </c>
      <c r="E23" s="103">
        <f t="shared" si="8"/>
        <v>1226.8365415473327</v>
      </c>
      <c r="F23" s="103">
        <f t="shared" si="9"/>
        <v>721.01970359007987</v>
      </c>
      <c r="G23" s="103">
        <f t="shared" si="10"/>
        <v>3593.2295127631241</v>
      </c>
      <c r="H23" s="103">
        <f t="shared" si="11"/>
        <v>146406.77048723688</v>
      </c>
    </row>
    <row r="24" spans="1:8" ht="14.55" x14ac:dyDescent="0.35">
      <c r="A24" s="101">
        <v>6</v>
      </c>
      <c r="B24" s="104">
        <f t="shared" si="5"/>
        <v>44380.1875</v>
      </c>
      <c r="C24" s="103">
        <f t="shared" si="6"/>
        <v>964.01321086209146</v>
      </c>
      <c r="D24" s="103">
        <f t="shared" si="7"/>
        <v>241.80268461124612</v>
      </c>
      <c r="E24" s="103">
        <f t="shared" si="8"/>
        <v>1468.6392261585788</v>
      </c>
      <c r="F24" s="103">
        <f t="shared" si="9"/>
        <v>722.21052625084531</v>
      </c>
      <c r="G24" s="103">
        <f t="shared" si="10"/>
        <v>4315.440039013969</v>
      </c>
      <c r="H24" s="103">
        <f t="shared" si="11"/>
        <v>145684.55996098602</v>
      </c>
    </row>
    <row r="25" spans="1:8" ht="14.55" x14ac:dyDescent="0.35">
      <c r="A25" s="101">
        <v>7</v>
      </c>
      <c r="B25" s="104">
        <f t="shared" si="5"/>
        <v>44410.625</v>
      </c>
      <c r="C25" s="103">
        <f t="shared" si="6"/>
        <v>964.01321086209146</v>
      </c>
      <c r="D25" s="103">
        <f t="shared" si="7"/>
        <v>240.60989521004024</v>
      </c>
      <c r="E25" s="103">
        <f t="shared" si="8"/>
        <v>1709.2491213686189</v>
      </c>
      <c r="F25" s="103">
        <f t="shared" si="9"/>
        <v>723.40331565205122</v>
      </c>
      <c r="G25" s="103">
        <f t="shared" si="10"/>
        <v>5038.8433546660199</v>
      </c>
      <c r="H25" s="103">
        <f t="shared" si="11"/>
        <v>144961.15664533398</v>
      </c>
    </row>
    <row r="26" spans="1:8" ht="14.55" x14ac:dyDescent="0.35">
      <c r="A26" s="101">
        <v>8</v>
      </c>
      <c r="B26" s="104">
        <f t="shared" si="5"/>
        <v>44441.0625</v>
      </c>
      <c r="C26" s="103">
        <f t="shared" si="6"/>
        <v>964.01321086209146</v>
      </c>
      <c r="D26" s="103">
        <f t="shared" si="7"/>
        <v>239.41513582016225</v>
      </c>
      <c r="E26" s="103">
        <f t="shared" si="8"/>
        <v>1948.6642571887812</v>
      </c>
      <c r="F26" s="103">
        <f t="shared" si="9"/>
        <v>724.59807504192918</v>
      </c>
      <c r="G26" s="103">
        <f t="shared" si="10"/>
        <v>5763.4414297079493</v>
      </c>
      <c r="H26" s="103">
        <f t="shared" si="11"/>
        <v>144236.55857029205</v>
      </c>
    </row>
    <row r="27" spans="1:8" ht="14.55" x14ac:dyDescent="0.35">
      <c r="A27" s="101">
        <v>9</v>
      </c>
      <c r="B27" s="104">
        <f t="shared" si="5"/>
        <v>44471.5</v>
      </c>
      <c r="C27" s="103">
        <f t="shared" si="6"/>
        <v>964.01321086209146</v>
      </c>
      <c r="D27" s="103">
        <f t="shared" si="7"/>
        <v>238.2184031880156</v>
      </c>
      <c r="E27" s="103">
        <f t="shared" si="8"/>
        <v>2186.8826603767966</v>
      </c>
      <c r="F27" s="103">
        <f t="shared" si="9"/>
        <v>725.79480767407586</v>
      </c>
      <c r="G27" s="103">
        <f t="shared" si="10"/>
        <v>6489.2362373820251</v>
      </c>
      <c r="H27" s="103">
        <f t="shared" si="11"/>
        <v>143510.76376261798</v>
      </c>
    </row>
    <row r="28" spans="1:8" ht="14.55" x14ac:dyDescent="0.35">
      <c r="A28" s="101">
        <v>10</v>
      </c>
      <c r="B28" s="104">
        <f t="shared" si="5"/>
        <v>44501.9375</v>
      </c>
      <c r="C28" s="103">
        <f t="shared" si="6"/>
        <v>964.01321086209146</v>
      </c>
      <c r="D28" s="103">
        <f t="shared" si="7"/>
        <v>237.01969405463032</v>
      </c>
      <c r="E28" s="103">
        <f t="shared" si="8"/>
        <v>2423.9023544314268</v>
      </c>
      <c r="F28" s="103">
        <f t="shared" si="9"/>
        <v>726.99351680746111</v>
      </c>
      <c r="G28" s="103">
        <f t="shared" si="10"/>
        <v>7216.2297541894859</v>
      </c>
      <c r="H28" s="103">
        <f t="shared" si="11"/>
        <v>142783.77024581051</v>
      </c>
    </row>
    <row r="29" spans="1:8" ht="14.55" x14ac:dyDescent="0.35">
      <c r="A29" s="101">
        <v>11</v>
      </c>
      <c r="B29" s="104">
        <f t="shared" si="5"/>
        <v>44532.375</v>
      </c>
      <c r="C29" s="103">
        <f t="shared" si="6"/>
        <v>964.01321086209146</v>
      </c>
      <c r="D29" s="103">
        <f t="shared" si="7"/>
        <v>235.81900515565388</v>
      </c>
      <c r="E29" s="103">
        <f t="shared" si="8"/>
        <v>2659.7213595870808</v>
      </c>
      <c r="F29" s="103">
        <f t="shared" si="9"/>
        <v>728.19420570643751</v>
      </c>
      <c r="G29" s="103">
        <f t="shared" si="10"/>
        <v>7944.423959895923</v>
      </c>
      <c r="H29" s="103">
        <f t="shared" si="11"/>
        <v>142055.57604010409</v>
      </c>
    </row>
    <row r="30" spans="1:8" ht="14.55" x14ac:dyDescent="0.35">
      <c r="A30" s="101">
        <v>12</v>
      </c>
      <c r="B30" s="104">
        <f t="shared" si="5"/>
        <v>44562.8125</v>
      </c>
      <c r="C30" s="103">
        <f t="shared" si="6"/>
        <v>964.01321086209146</v>
      </c>
      <c r="D30" s="103">
        <f t="shared" si="7"/>
        <v>234.6163332213425</v>
      </c>
      <c r="E30" s="103">
        <f t="shared" si="8"/>
        <v>2894.3376928084231</v>
      </c>
      <c r="F30" s="103">
        <f t="shared" si="9"/>
        <v>729.39687764074893</v>
      </c>
      <c r="G30" s="103">
        <f t="shared" si="10"/>
        <v>8673.8208375366721</v>
      </c>
      <c r="H30" s="103">
        <f t="shared" si="11"/>
        <v>141326.17916246332</v>
      </c>
    </row>
    <row r="31" spans="1:8" ht="14.55" x14ac:dyDescent="0.35">
      <c r="A31" s="101">
        <v>13</v>
      </c>
      <c r="B31" s="104">
        <f t="shared" si="5"/>
        <v>44593.25</v>
      </c>
      <c r="C31" s="103">
        <f t="shared" si="6"/>
        <v>964.01321086209146</v>
      </c>
      <c r="D31" s="103">
        <f t="shared" si="7"/>
        <v>233.41167497655201</v>
      </c>
      <c r="E31" s="103">
        <f t="shared" si="8"/>
        <v>3127.7493677849752</v>
      </c>
      <c r="F31" s="103">
        <f t="shared" si="9"/>
        <v>730.60153588553942</v>
      </c>
      <c r="G31" s="103">
        <f t="shared" si="10"/>
        <v>9404.4223734222123</v>
      </c>
      <c r="H31" s="103">
        <f t="shared" si="11"/>
        <v>140595.57762657778</v>
      </c>
    </row>
    <row r="32" spans="1:8" ht="14.55" x14ac:dyDescent="0.35">
      <c r="A32" s="101">
        <v>14</v>
      </c>
      <c r="B32" s="104">
        <f t="shared" si="5"/>
        <v>44623.6875</v>
      </c>
      <c r="C32" s="103">
        <f t="shared" si="6"/>
        <v>964.01321086209146</v>
      </c>
      <c r="D32" s="103">
        <f t="shared" si="7"/>
        <v>232.20502714072927</v>
      </c>
      <c r="E32" s="103">
        <f t="shared" si="8"/>
        <v>3359.9543949257045</v>
      </c>
      <c r="F32" s="103">
        <f t="shared" si="9"/>
        <v>731.80818372136218</v>
      </c>
      <c r="G32" s="103">
        <f t="shared" si="10"/>
        <v>10136.230557143575</v>
      </c>
      <c r="H32" s="103">
        <f t="shared" si="11"/>
        <v>139863.76944285643</v>
      </c>
    </row>
    <row r="33" spans="1:8" ht="14.55" x14ac:dyDescent="0.35">
      <c r="A33" s="105">
        <v>15</v>
      </c>
      <c r="B33" s="106">
        <f t="shared" si="5"/>
        <v>44654.125</v>
      </c>
      <c r="C33" s="107">
        <f t="shared" si="6"/>
        <v>964.01321086209146</v>
      </c>
      <c r="D33" s="107">
        <f t="shared" si="7"/>
        <v>230.99638642790288</v>
      </c>
      <c r="E33" s="107">
        <f t="shared" si="8"/>
        <v>3590.9507813536075</v>
      </c>
      <c r="F33" s="107">
        <f t="shared" si="9"/>
        <v>733.01682443418861</v>
      </c>
      <c r="G33" s="107">
        <f t="shared" si="10"/>
        <v>10869.247381577765</v>
      </c>
      <c r="H33" s="107">
        <f t="shared" si="11"/>
        <v>139130.75261842224</v>
      </c>
    </row>
    <row r="34" spans="1:8" ht="14.55" x14ac:dyDescent="0.35">
      <c r="A34" s="101">
        <v>16</v>
      </c>
      <c r="B34" s="104">
        <f t="shared" si="5"/>
        <v>44684.5625</v>
      </c>
      <c r="C34" s="103">
        <f t="shared" si="6"/>
        <v>964.01321086209146</v>
      </c>
      <c r="D34" s="103">
        <f t="shared" si="7"/>
        <v>229.78574954667442</v>
      </c>
      <c r="E34" s="103">
        <f t="shared" si="8"/>
        <v>3820.7365309002817</v>
      </c>
      <c r="F34" s="103">
        <f t="shared" si="9"/>
        <v>734.22746131541703</v>
      </c>
      <c r="G34" s="103">
        <f t="shared" si="10"/>
        <v>11603.474842893182</v>
      </c>
      <c r="H34" s="103">
        <f t="shared" si="11"/>
        <v>138396.52515710681</v>
      </c>
    </row>
    <row r="35" spans="1:8" ht="14.55" x14ac:dyDescent="0.35">
      <c r="A35" s="101">
        <v>17</v>
      </c>
      <c r="B35" s="104">
        <f t="shared" si="5"/>
        <v>44715</v>
      </c>
      <c r="C35" s="103">
        <f t="shared" si="6"/>
        <v>964.01321086209146</v>
      </c>
      <c r="D35" s="103">
        <f t="shared" si="7"/>
        <v>228.57311320020952</v>
      </c>
      <c r="E35" s="103">
        <f t="shared" si="8"/>
        <v>4049.3096441004914</v>
      </c>
      <c r="F35" s="103">
        <f t="shared" si="9"/>
        <v>735.44009766188196</v>
      </c>
      <c r="G35" s="103">
        <f t="shared" si="10"/>
        <v>12338.914940555063</v>
      </c>
      <c r="H35" s="103">
        <f t="shared" si="11"/>
        <v>137661.08505944494</v>
      </c>
    </row>
    <row r="36" spans="1:8" ht="14.55" x14ac:dyDescent="0.35">
      <c r="A36" s="101">
        <v>18</v>
      </c>
      <c r="B36" s="104">
        <f t="shared" si="5"/>
        <v>44745.4375</v>
      </c>
      <c r="C36" s="103">
        <f t="shared" si="6"/>
        <v>964.01321086209146</v>
      </c>
      <c r="D36" s="103">
        <f t="shared" si="7"/>
        <v>227.3584740862288</v>
      </c>
      <c r="E36" s="103">
        <f t="shared" si="8"/>
        <v>4276.6681181867198</v>
      </c>
      <c r="F36" s="103">
        <f t="shared" si="9"/>
        <v>736.6547367758626</v>
      </c>
      <c r="G36" s="103">
        <f t="shared" si="10"/>
        <v>13075.569677330926</v>
      </c>
      <c r="H36" s="103">
        <f t="shared" si="11"/>
        <v>136924.43032266907</v>
      </c>
    </row>
    <row r="37" spans="1:8" ht="14.55" x14ac:dyDescent="0.35">
      <c r="A37" s="101">
        <v>19</v>
      </c>
      <c r="B37" s="104">
        <f t="shared" si="5"/>
        <v>44775.875</v>
      </c>
      <c r="C37" s="103">
        <f t="shared" si="6"/>
        <v>964.01321086209146</v>
      </c>
      <c r="D37" s="103">
        <f t="shared" si="7"/>
        <v>226.14182889699879</v>
      </c>
      <c r="E37" s="103">
        <f t="shared" si="8"/>
        <v>4502.8099470837187</v>
      </c>
      <c r="F37" s="103">
        <f t="shared" si="9"/>
        <v>737.87138196509272</v>
      </c>
      <c r="G37" s="103">
        <f t="shared" si="10"/>
        <v>13813.441059296019</v>
      </c>
      <c r="H37" s="103">
        <f t="shared" si="11"/>
        <v>136186.55894070398</v>
      </c>
    </row>
    <row r="38" spans="1:8" ht="14.55" x14ac:dyDescent="0.35">
      <c r="A38" s="101">
        <v>20</v>
      </c>
      <c r="B38" s="104">
        <f t="shared" si="5"/>
        <v>44806.3125</v>
      </c>
      <c r="C38" s="103">
        <f t="shared" si="6"/>
        <v>964.01321086209146</v>
      </c>
      <c r="D38" s="103">
        <f t="shared" si="7"/>
        <v>224.92317431932321</v>
      </c>
      <c r="E38" s="103">
        <f t="shared" si="8"/>
        <v>4727.7331214030419</v>
      </c>
      <c r="F38" s="103">
        <f t="shared" si="9"/>
        <v>739.0900365427683</v>
      </c>
      <c r="G38" s="103">
        <f t="shared" si="10"/>
        <v>14552.531095838787</v>
      </c>
      <c r="H38" s="103">
        <f t="shared" si="11"/>
        <v>135447.46890416121</v>
      </c>
    </row>
    <row r="39" spans="1:8" ht="14.55" x14ac:dyDescent="0.35">
      <c r="A39" s="101">
        <v>21</v>
      </c>
      <c r="B39" s="104">
        <f t="shared" si="5"/>
        <v>44836.75</v>
      </c>
      <c r="C39" s="103">
        <f t="shared" si="6"/>
        <v>964.01321086209146</v>
      </c>
      <c r="D39" s="103">
        <f t="shared" si="7"/>
        <v>223.70250703453365</v>
      </c>
      <c r="E39" s="103">
        <f t="shared" si="8"/>
        <v>4951.4356284375754</v>
      </c>
      <c r="F39" s="103">
        <f t="shared" si="9"/>
        <v>740.31070382755775</v>
      </c>
      <c r="G39" s="103">
        <f t="shared" si="10"/>
        <v>15292.841799666345</v>
      </c>
      <c r="H39" s="103">
        <f t="shared" si="11"/>
        <v>134707.15820033365</v>
      </c>
    </row>
    <row r="40" spans="1:8" ht="14.55" x14ac:dyDescent="0.35">
      <c r="A40" s="101">
        <v>22</v>
      </c>
      <c r="B40" s="104">
        <f t="shared" si="5"/>
        <v>44867.1875</v>
      </c>
      <c r="C40" s="103">
        <f t="shared" si="6"/>
        <v>964.01321086209146</v>
      </c>
      <c r="D40" s="103">
        <f t="shared" si="7"/>
        <v>222.47982371848065</v>
      </c>
      <c r="E40" s="103">
        <f t="shared" si="8"/>
        <v>5173.9154521560558</v>
      </c>
      <c r="F40" s="103">
        <f t="shared" si="9"/>
        <v>741.53338714361075</v>
      </c>
      <c r="G40" s="103">
        <f t="shared" si="10"/>
        <v>16034.375186809955</v>
      </c>
      <c r="H40" s="103">
        <f t="shared" si="11"/>
        <v>133965.62481319005</v>
      </c>
    </row>
    <row r="41" spans="1:8" ht="14.55" x14ac:dyDescent="0.35">
      <c r="A41" s="101">
        <v>23</v>
      </c>
      <c r="B41" s="104">
        <f t="shared" si="5"/>
        <v>44897.625</v>
      </c>
      <c r="C41" s="103">
        <f t="shared" si="6"/>
        <v>964.01321086209146</v>
      </c>
      <c r="D41" s="103">
        <f t="shared" si="7"/>
        <v>221.25512104152472</v>
      </c>
      <c r="E41" s="103">
        <f t="shared" si="8"/>
        <v>5395.1705731975808</v>
      </c>
      <c r="F41" s="103">
        <f t="shared" si="9"/>
        <v>742.75808982056674</v>
      </c>
      <c r="G41" s="103">
        <f t="shared" si="10"/>
        <v>16777.13327663052</v>
      </c>
      <c r="H41" s="103">
        <f t="shared" si="11"/>
        <v>133222.86672336949</v>
      </c>
    </row>
    <row r="42" spans="1:8" ht="14.55" x14ac:dyDescent="0.35">
      <c r="A42" s="101">
        <v>24</v>
      </c>
      <c r="B42" s="104">
        <f t="shared" si="5"/>
        <v>44928.0625</v>
      </c>
      <c r="C42" s="107">
        <f t="shared" si="6"/>
        <v>964.01321086209146</v>
      </c>
      <c r="D42" s="107">
        <f t="shared" si="7"/>
        <v>220.02839566852708</v>
      </c>
      <c r="E42" s="107">
        <f t="shared" si="8"/>
        <v>5615.1989688661079</v>
      </c>
      <c r="F42" s="107">
        <f t="shared" si="9"/>
        <v>743.98481519356437</v>
      </c>
      <c r="G42" s="107">
        <f t="shared" si="10"/>
        <v>17521.118091824086</v>
      </c>
      <c r="H42" s="107">
        <f t="shared" si="11"/>
        <v>132478.88190817591</v>
      </c>
    </row>
    <row r="43" spans="1:8" ht="14.55" x14ac:dyDescent="0.35">
      <c r="A43" s="101">
        <v>25</v>
      </c>
      <c r="B43" s="104">
        <f t="shared" si="5"/>
        <v>44958.5</v>
      </c>
      <c r="C43" s="103">
        <f t="shared" si="6"/>
        <v>964.01321086209146</v>
      </c>
      <c r="D43" s="103">
        <f t="shared" si="7"/>
        <v>218.7996442588408</v>
      </c>
      <c r="E43" s="103">
        <f t="shared" si="8"/>
        <v>5833.9986131249489</v>
      </c>
      <c r="F43" s="103">
        <f t="shared" si="9"/>
        <v>745.21356660325068</v>
      </c>
      <c r="G43" s="103">
        <f t="shared" si="10"/>
        <v>18266.331658427338</v>
      </c>
      <c r="H43" s="103">
        <f t="shared" si="11"/>
        <v>131733.66834157266</v>
      </c>
    </row>
    <row r="44" spans="1:8" ht="14.55" x14ac:dyDescent="0.35">
      <c r="A44" s="101">
        <v>26</v>
      </c>
      <c r="B44" s="104">
        <f t="shared" si="5"/>
        <v>44988.9375</v>
      </c>
      <c r="C44" s="103">
        <f t="shared" si="6"/>
        <v>964.01321086209146</v>
      </c>
      <c r="D44" s="103">
        <f t="shared" si="7"/>
        <v>217.56886346630159</v>
      </c>
      <c r="E44" s="103">
        <f t="shared" si="8"/>
        <v>6051.5674765912509</v>
      </c>
      <c r="F44" s="103">
        <f t="shared" si="9"/>
        <v>746.44434739578992</v>
      </c>
      <c r="G44" s="103">
        <f t="shared" si="10"/>
        <v>19012.776005823129</v>
      </c>
      <c r="H44" s="103">
        <f t="shared" si="11"/>
        <v>130987.22399417686</v>
      </c>
    </row>
    <row r="45" spans="1:8" ht="14.55" x14ac:dyDescent="0.35">
      <c r="A45" s="101">
        <v>27</v>
      </c>
      <c r="B45" s="104">
        <f t="shared" si="5"/>
        <v>45019.375</v>
      </c>
      <c r="C45" s="103">
        <f t="shared" si="6"/>
        <v>964.01321086209146</v>
      </c>
      <c r="D45" s="103">
        <f t="shared" si="7"/>
        <v>216.33604993921864</v>
      </c>
      <c r="E45" s="103">
        <f t="shared" si="8"/>
        <v>6267.9035265304692</v>
      </c>
      <c r="F45" s="103">
        <f t="shared" si="9"/>
        <v>747.67716092287287</v>
      </c>
      <c r="G45" s="103">
        <f t="shared" si="10"/>
        <v>19760.453166746003</v>
      </c>
      <c r="H45" s="103">
        <f t="shared" si="11"/>
        <v>130239.54683325399</v>
      </c>
    </row>
    <row r="46" spans="1:8" ht="14.55" x14ac:dyDescent="0.35">
      <c r="A46" s="101">
        <v>28</v>
      </c>
      <c r="B46" s="104">
        <f t="shared" si="5"/>
        <v>45049.8125</v>
      </c>
      <c r="C46" s="103">
        <f t="shared" si="6"/>
        <v>964.01321086209146</v>
      </c>
      <c r="D46" s="103">
        <f t="shared" si="7"/>
        <v>215.10120032036562</v>
      </c>
      <c r="E46" s="103">
        <f t="shared" si="8"/>
        <v>6483.0047268508351</v>
      </c>
      <c r="F46" s="103">
        <f t="shared" si="9"/>
        <v>748.91201054172586</v>
      </c>
      <c r="G46" s="103">
        <f t="shared" si="10"/>
        <v>20509.365177287727</v>
      </c>
      <c r="H46" s="103">
        <f t="shared" si="11"/>
        <v>129490.63482271228</v>
      </c>
    </row>
    <row r="47" spans="1:8" ht="14.55" x14ac:dyDescent="0.35">
      <c r="A47" s="101">
        <v>29</v>
      </c>
      <c r="B47" s="104">
        <f t="shared" si="5"/>
        <v>45080.25</v>
      </c>
      <c r="C47" s="103">
        <f t="shared" si="6"/>
        <v>964.01321086209146</v>
      </c>
      <c r="D47" s="103">
        <f t="shared" si="7"/>
        <v>213.86431124697145</v>
      </c>
      <c r="E47" s="103">
        <f t="shared" si="8"/>
        <v>6696.8690380978069</v>
      </c>
      <c r="F47" s="103">
        <f t="shared" si="9"/>
        <v>750.14889961511994</v>
      </c>
      <c r="G47" s="103">
        <f t="shared" si="10"/>
        <v>21259.514076902848</v>
      </c>
      <c r="H47" s="103">
        <f t="shared" si="11"/>
        <v>128740.48592309715</v>
      </c>
    </row>
    <row r="48" spans="1:8" ht="14.55" x14ac:dyDescent="0.35">
      <c r="A48" s="101">
        <v>30</v>
      </c>
      <c r="B48" s="104">
        <f t="shared" si="5"/>
        <v>45110.6875</v>
      </c>
      <c r="C48" s="103">
        <f t="shared" si="6"/>
        <v>964.01321086209146</v>
      </c>
      <c r="D48" s="103">
        <f t="shared" si="7"/>
        <v>212.62537935071109</v>
      </c>
      <c r="E48" s="103">
        <f t="shared" si="8"/>
        <v>6909.4944174485181</v>
      </c>
      <c r="F48" s="103">
        <f t="shared" si="9"/>
        <v>751.38783151138034</v>
      </c>
      <c r="G48" s="103">
        <f t="shared" si="10"/>
        <v>22010.901908414227</v>
      </c>
      <c r="H48" s="103">
        <f t="shared" si="11"/>
        <v>127989.09809158577</v>
      </c>
    </row>
    <row r="49" spans="1:8" ht="14.55" x14ac:dyDescent="0.35">
      <c r="A49" s="101">
        <v>31</v>
      </c>
      <c r="B49" s="104">
        <f t="shared" si="5"/>
        <v>45141.125</v>
      </c>
      <c r="C49" s="103">
        <f t="shared" si="6"/>
        <v>964.01321086209146</v>
      </c>
      <c r="D49" s="103">
        <f t="shared" si="7"/>
        <v>211.38440125769648</v>
      </c>
      <c r="E49" s="103">
        <f t="shared" si="8"/>
        <v>7120.8788187062146</v>
      </c>
      <c r="F49" s="103">
        <f t="shared" si="9"/>
        <v>752.62880960439497</v>
      </c>
      <c r="G49" s="103">
        <f t="shared" si="10"/>
        <v>22763.530718018621</v>
      </c>
      <c r="H49" s="103">
        <f t="shared" si="11"/>
        <v>127236.46928198138</v>
      </c>
    </row>
    <row r="50" spans="1:8" ht="14.55" x14ac:dyDescent="0.35">
      <c r="A50" s="101">
        <v>32</v>
      </c>
      <c r="B50" s="104">
        <f t="shared" si="5"/>
        <v>45171.5625</v>
      </c>
      <c r="C50" s="103">
        <f t="shared" si="6"/>
        <v>964.01321086209146</v>
      </c>
      <c r="D50" s="103">
        <f t="shared" si="7"/>
        <v>210.14137358846742</v>
      </c>
      <c r="E50" s="103">
        <f t="shared" si="8"/>
        <v>7331.0201922946817</v>
      </c>
      <c r="F50" s="103">
        <f t="shared" si="9"/>
        <v>753.87183727362401</v>
      </c>
      <c r="G50" s="103">
        <f t="shared" si="10"/>
        <v>23517.402555292247</v>
      </c>
      <c r="H50" s="103">
        <f t="shared" si="11"/>
        <v>126482.59744470776</v>
      </c>
    </row>
    <row r="51" spans="1:8" ht="14.55" x14ac:dyDescent="0.35">
      <c r="A51" s="101">
        <v>33</v>
      </c>
      <c r="B51" s="104">
        <f t="shared" si="5"/>
        <v>45202</v>
      </c>
      <c r="C51" s="103">
        <f t="shared" si="6"/>
        <v>964.01321086209146</v>
      </c>
      <c r="D51" s="103">
        <f t="shared" si="7"/>
        <v>208.89629295798207</v>
      </c>
      <c r="E51" s="103">
        <f t="shared" si="8"/>
        <v>7539.9164852526637</v>
      </c>
      <c r="F51" s="103">
        <f t="shared" si="9"/>
        <v>755.11691790410941</v>
      </c>
      <c r="G51" s="103">
        <f t="shared" si="10"/>
        <v>24272.519473196357</v>
      </c>
      <c r="H51" s="103">
        <f t="shared" si="11"/>
        <v>125727.48052680364</v>
      </c>
    </row>
    <row r="52" spans="1:8" ht="14.55" x14ac:dyDescent="0.35">
      <c r="A52" s="101">
        <v>34</v>
      </c>
      <c r="B52" s="104">
        <f t="shared" si="5"/>
        <v>45232.4375</v>
      </c>
      <c r="C52" s="103">
        <f t="shared" si="6"/>
        <v>964.01321086209146</v>
      </c>
      <c r="D52" s="103">
        <f t="shared" si="7"/>
        <v>207.64915597560798</v>
      </c>
      <c r="E52" s="103">
        <f t="shared" si="8"/>
        <v>7747.5656412282715</v>
      </c>
      <c r="F52" s="103">
        <f t="shared" si="9"/>
        <v>756.36405488648347</v>
      </c>
      <c r="G52" s="103">
        <f t="shared" si="10"/>
        <v>25028.883528082839</v>
      </c>
      <c r="H52" s="103">
        <f t="shared" si="11"/>
        <v>124971.11647191716</v>
      </c>
    </row>
    <row r="53" spans="1:8" ht="14.55" x14ac:dyDescent="0.35">
      <c r="A53" s="101">
        <v>35</v>
      </c>
      <c r="B53" s="104">
        <f t="shared" si="5"/>
        <v>45262.875</v>
      </c>
      <c r="C53" s="103">
        <f t="shared" si="6"/>
        <v>964.01321086209146</v>
      </c>
      <c r="D53" s="103">
        <f t="shared" si="7"/>
        <v>206.39995924511291</v>
      </c>
      <c r="E53" s="103">
        <f t="shared" si="8"/>
        <v>7953.9656004733843</v>
      </c>
      <c r="F53" s="103">
        <f t="shared" si="9"/>
        <v>757.61325161697857</v>
      </c>
      <c r="G53" s="103">
        <f t="shared" si="10"/>
        <v>25786.496779699817</v>
      </c>
      <c r="H53" s="103">
        <f t="shared" si="11"/>
        <v>124213.50322030019</v>
      </c>
    </row>
    <row r="54" spans="1:8" ht="14.55" x14ac:dyDescent="0.35">
      <c r="A54" s="101">
        <v>36</v>
      </c>
      <c r="B54" s="104">
        <f t="shared" si="5"/>
        <v>45293.3125</v>
      </c>
      <c r="C54" s="103">
        <f t="shared" si="6"/>
        <v>964.01321086209146</v>
      </c>
      <c r="D54" s="103">
        <f t="shared" si="7"/>
        <v>205.14869936465533</v>
      </c>
      <c r="E54" s="103">
        <f t="shared" si="8"/>
        <v>8159.1142998380392</v>
      </c>
      <c r="F54" s="103">
        <f t="shared" si="9"/>
        <v>758.86451149743607</v>
      </c>
      <c r="G54" s="103">
        <f t="shared" si="10"/>
        <v>26545.361291197252</v>
      </c>
      <c r="H54" s="103">
        <f t="shared" si="11"/>
        <v>123454.63870880275</v>
      </c>
    </row>
    <row r="55" spans="1:8" ht="14.55" x14ac:dyDescent="0.35">
      <c r="A55" s="101">
        <v>37</v>
      </c>
      <c r="B55" s="104">
        <f t="shared" si="5"/>
        <v>45323.75</v>
      </c>
      <c r="C55" s="103">
        <f t="shared" si="6"/>
        <v>964.01321086209146</v>
      </c>
      <c r="D55" s="103">
        <f t="shared" si="7"/>
        <v>203.89537292677534</v>
      </c>
      <c r="E55" s="103">
        <f t="shared" si="8"/>
        <v>8363.0096727648142</v>
      </c>
      <c r="F55" s="103">
        <f t="shared" si="9"/>
        <v>760.11783793531617</v>
      </c>
      <c r="G55" s="103">
        <f t="shared" si="10"/>
        <v>27305.479129132567</v>
      </c>
      <c r="H55" s="103">
        <f t="shared" si="11"/>
        <v>122694.52087086743</v>
      </c>
    </row>
    <row r="56" spans="1:8" ht="14.55" x14ac:dyDescent="0.35">
      <c r="A56" s="101">
        <v>38</v>
      </c>
      <c r="B56" s="104">
        <f t="shared" si="5"/>
        <v>45354.1875</v>
      </c>
      <c r="C56" s="103">
        <f t="shared" si="6"/>
        <v>964.01321086209146</v>
      </c>
      <c r="D56" s="103">
        <f t="shared" si="7"/>
        <v>202.63997651838534</v>
      </c>
      <c r="E56" s="103">
        <f t="shared" si="8"/>
        <v>8565.6496492831993</v>
      </c>
      <c r="F56" s="103">
        <f t="shared" si="9"/>
        <v>761.37323434370614</v>
      </c>
      <c r="G56" s="103">
        <f t="shared" si="10"/>
        <v>28066.852363476275</v>
      </c>
      <c r="H56" s="103">
        <f t="shared" si="11"/>
        <v>121933.14763652373</v>
      </c>
    </row>
    <row r="57" spans="1:8" ht="14.55" x14ac:dyDescent="0.35">
      <c r="A57" s="101">
        <v>39</v>
      </c>
      <c r="B57" s="104">
        <f t="shared" si="5"/>
        <v>45384.625</v>
      </c>
      <c r="C57" s="103">
        <f t="shared" si="6"/>
        <v>964.01321086209146</v>
      </c>
      <c r="D57" s="103">
        <f t="shared" si="7"/>
        <v>201.38250672076077</v>
      </c>
      <c r="E57" s="103">
        <f t="shared" si="8"/>
        <v>8767.0321560039592</v>
      </c>
      <c r="F57" s="103">
        <f t="shared" si="9"/>
        <v>762.63070414133063</v>
      </c>
      <c r="G57" s="103">
        <f t="shared" si="10"/>
        <v>28829.483067617606</v>
      </c>
      <c r="H57" s="103">
        <f t="shared" si="11"/>
        <v>121170.51693238239</v>
      </c>
    </row>
    <row r="58" spans="1:8" ht="14.55" x14ac:dyDescent="0.35">
      <c r="A58" s="101">
        <v>40</v>
      </c>
      <c r="B58" s="104">
        <f t="shared" si="5"/>
        <v>45415.0625</v>
      </c>
      <c r="C58" s="103">
        <f t="shared" si="6"/>
        <v>964.01321086209146</v>
      </c>
      <c r="D58" s="103">
        <f t="shared" si="7"/>
        <v>200.12296010953068</v>
      </c>
      <c r="E58" s="103">
        <f t="shared" si="8"/>
        <v>8967.1551161134903</v>
      </c>
      <c r="F58" s="103">
        <f t="shared" si="9"/>
        <v>763.89025075256075</v>
      </c>
      <c r="G58" s="103">
        <f t="shared" si="10"/>
        <v>29593.373318370166</v>
      </c>
      <c r="H58" s="103">
        <f t="shared" si="11"/>
        <v>120406.62668162983</v>
      </c>
    </row>
    <row r="59" spans="1:8" ht="14.55" x14ac:dyDescent="0.35">
      <c r="A59" s="101">
        <v>41</v>
      </c>
      <c r="B59" s="104">
        <f t="shared" si="5"/>
        <v>45445.5</v>
      </c>
      <c r="C59" s="103">
        <f t="shared" si="6"/>
        <v>964.01321086209146</v>
      </c>
      <c r="D59" s="103">
        <f t="shared" si="7"/>
        <v>198.86133325466858</v>
      </c>
      <c r="E59" s="103">
        <f t="shared" si="8"/>
        <v>9166.0164493681586</v>
      </c>
      <c r="F59" s="103">
        <f t="shared" si="9"/>
        <v>765.15187760742288</v>
      </c>
      <c r="G59" s="103">
        <f t="shared" si="10"/>
        <v>30358.525195977589</v>
      </c>
      <c r="H59" s="103">
        <f t="shared" si="11"/>
        <v>119641.47480402241</v>
      </c>
    </row>
    <row r="60" spans="1:8" ht="14.55" x14ac:dyDescent="0.35">
      <c r="A60" s="101">
        <v>42</v>
      </c>
      <c r="B60" s="104">
        <f t="shared" si="5"/>
        <v>45475.9375</v>
      </c>
      <c r="C60" s="103">
        <f t="shared" si="6"/>
        <v>964.01321086209146</v>
      </c>
      <c r="D60" s="103">
        <f t="shared" si="7"/>
        <v>197.59762272048303</v>
      </c>
      <c r="E60" s="103">
        <f t="shared" si="8"/>
        <v>9363.6140720886415</v>
      </c>
      <c r="F60" s="103">
        <f t="shared" si="9"/>
        <v>766.4155881416084</v>
      </c>
      <c r="G60" s="103">
        <f t="shared" si="10"/>
        <v>31124.940784119197</v>
      </c>
      <c r="H60" s="103">
        <f t="shared" si="11"/>
        <v>118875.0592158808</v>
      </c>
    </row>
    <row r="61" spans="1:8" ht="14.55" x14ac:dyDescent="0.35">
      <c r="A61" s="101">
        <v>43</v>
      </c>
      <c r="B61" s="104">
        <f t="shared" si="5"/>
        <v>45506.375</v>
      </c>
      <c r="C61" s="103">
        <f t="shared" si="6"/>
        <v>964.01321086209146</v>
      </c>
      <c r="D61" s="103">
        <f t="shared" si="7"/>
        <v>196.33182506560814</v>
      </c>
      <c r="E61" s="103">
        <f t="shared" si="8"/>
        <v>9559.9458971542499</v>
      </c>
      <c r="F61" s="103">
        <f t="shared" si="9"/>
        <v>767.68138579648326</v>
      </c>
      <c r="G61" s="103">
        <f t="shared" si="10"/>
        <v>31892.622169915681</v>
      </c>
      <c r="H61" s="103">
        <f t="shared" si="11"/>
        <v>118107.37783008433</v>
      </c>
    </row>
    <row r="62" spans="1:8" ht="14.55" x14ac:dyDescent="0.35">
      <c r="A62" s="101">
        <v>44</v>
      </c>
      <c r="B62" s="104">
        <f t="shared" si="5"/>
        <v>45536.8125</v>
      </c>
      <c r="C62" s="103">
        <f t="shared" si="6"/>
        <v>964.01321086209146</v>
      </c>
      <c r="D62" s="103">
        <f t="shared" si="7"/>
        <v>195.06393684299448</v>
      </c>
      <c r="E62" s="103">
        <f t="shared" si="8"/>
        <v>9755.0098339972446</v>
      </c>
      <c r="F62" s="103">
        <f t="shared" si="9"/>
        <v>768.94927401909695</v>
      </c>
      <c r="G62" s="103">
        <f t="shared" si="10"/>
        <v>32661.571443934779</v>
      </c>
      <c r="H62" s="103">
        <f t="shared" si="11"/>
        <v>117338.42855606522</v>
      </c>
    </row>
    <row r="63" spans="1:8" ht="14.55" x14ac:dyDescent="0.35">
      <c r="A63" s="101">
        <v>45</v>
      </c>
      <c r="B63" s="104">
        <f t="shared" si="5"/>
        <v>45567.25</v>
      </c>
      <c r="C63" s="103">
        <f t="shared" si="6"/>
        <v>964.01321086209146</v>
      </c>
      <c r="D63" s="103">
        <f t="shared" si="7"/>
        <v>193.79395459989939</v>
      </c>
      <c r="E63" s="103">
        <f t="shared" si="8"/>
        <v>9948.8037885971444</v>
      </c>
      <c r="F63" s="103">
        <f t="shared" si="9"/>
        <v>770.21925626219206</v>
      </c>
      <c r="G63" s="103">
        <f t="shared" si="10"/>
        <v>33431.790700196972</v>
      </c>
      <c r="H63" s="103">
        <f t="shared" si="11"/>
        <v>116568.20929980303</v>
      </c>
    </row>
    <row r="64" spans="1:8" ht="14.55" x14ac:dyDescent="0.35">
      <c r="A64" s="101">
        <v>46</v>
      </c>
      <c r="B64" s="104">
        <f t="shared" si="5"/>
        <v>45597.6875</v>
      </c>
      <c r="C64" s="103">
        <f t="shared" si="6"/>
        <v>964.01321086209146</v>
      </c>
      <c r="D64" s="103">
        <f t="shared" si="7"/>
        <v>192.52187487787785</v>
      </c>
      <c r="E64" s="103">
        <f t="shared" si="8"/>
        <v>10141.325663475021</v>
      </c>
      <c r="F64" s="103">
        <f t="shared" si="9"/>
        <v>771.49133598421361</v>
      </c>
      <c r="G64" s="103">
        <f t="shared" si="10"/>
        <v>34203.282036181183</v>
      </c>
      <c r="H64" s="103">
        <f t="shared" si="11"/>
        <v>115796.71796381881</v>
      </c>
    </row>
    <row r="65" spans="1:8" ht="14.55" x14ac:dyDescent="0.35">
      <c r="A65" s="101">
        <v>47</v>
      </c>
      <c r="B65" s="104">
        <f t="shared" si="5"/>
        <v>45628.125</v>
      </c>
      <c r="C65" s="103">
        <f t="shared" si="6"/>
        <v>964.01321086209146</v>
      </c>
      <c r="D65" s="103">
        <f t="shared" si="7"/>
        <v>191.24769421277287</v>
      </c>
      <c r="E65" s="103">
        <f t="shared" si="8"/>
        <v>10332.573357687794</v>
      </c>
      <c r="F65" s="103">
        <f t="shared" si="9"/>
        <v>772.76551664931856</v>
      </c>
      <c r="G65" s="103">
        <f t="shared" si="10"/>
        <v>34976.047552830503</v>
      </c>
      <c r="H65" s="103">
        <f t="shared" si="11"/>
        <v>115023.95244716949</v>
      </c>
    </row>
    <row r="66" spans="1:8" ht="14.55" x14ac:dyDescent="0.35">
      <c r="A66" s="101">
        <v>48</v>
      </c>
      <c r="B66" s="104">
        <f t="shared" si="5"/>
        <v>45658.5625</v>
      </c>
      <c r="C66" s="103">
        <f t="shared" si="6"/>
        <v>964.01321086209146</v>
      </c>
      <c r="D66" s="103">
        <f t="shared" si="7"/>
        <v>189.97140913470614</v>
      </c>
      <c r="E66" s="103">
        <f t="shared" si="8"/>
        <v>10522.544766822501</v>
      </c>
      <c r="F66" s="103">
        <f t="shared" si="9"/>
        <v>774.04180172738529</v>
      </c>
      <c r="G66" s="103">
        <f t="shared" si="10"/>
        <v>35750.089354557887</v>
      </c>
      <c r="H66" s="103">
        <f t="shared" si="11"/>
        <v>114249.91064544211</v>
      </c>
    </row>
    <row r="67" spans="1:8" ht="14.55" x14ac:dyDescent="0.35">
      <c r="A67" s="101">
        <v>49</v>
      </c>
      <c r="B67" s="104">
        <f t="shared" si="5"/>
        <v>45689</v>
      </c>
      <c r="C67" s="103">
        <f t="shared" si="6"/>
        <v>964.01321086209146</v>
      </c>
      <c r="D67" s="103">
        <f t="shared" si="7"/>
        <v>188.69301616806857</v>
      </c>
      <c r="E67" s="103">
        <f t="shared" si="8"/>
        <v>10711.237782990569</v>
      </c>
      <c r="F67" s="103">
        <f t="shared" si="9"/>
        <v>775.32019469402292</v>
      </c>
      <c r="G67" s="103">
        <f t="shared" si="10"/>
        <v>36525.409549251912</v>
      </c>
      <c r="H67" s="103">
        <f t="shared" si="11"/>
        <v>113474.59045074809</v>
      </c>
    </row>
    <row r="68" spans="1:8" ht="14.55" x14ac:dyDescent="0.35">
      <c r="A68" s="101">
        <v>50</v>
      </c>
      <c r="B68" s="104">
        <f t="shared" si="5"/>
        <v>45719.4375</v>
      </c>
      <c r="C68" s="103">
        <f t="shared" si="6"/>
        <v>964.01321086209146</v>
      </c>
      <c r="D68" s="103">
        <f t="shared" si="7"/>
        <v>187.41251183151076</v>
      </c>
      <c r="E68" s="103">
        <f t="shared" si="8"/>
        <v>10898.65029482208</v>
      </c>
      <c r="F68" s="103">
        <f t="shared" si="9"/>
        <v>776.6006990305807</v>
      </c>
      <c r="G68" s="103">
        <f t="shared" si="10"/>
        <v>37302.010248282495</v>
      </c>
      <c r="H68" s="103">
        <f t="shared" si="11"/>
        <v>112697.98975171751</v>
      </c>
    </row>
    <row r="69" spans="1:8" ht="14.55" x14ac:dyDescent="0.35">
      <c r="A69" s="101">
        <v>51</v>
      </c>
      <c r="B69" s="104">
        <f t="shared" si="5"/>
        <v>45749.875</v>
      </c>
      <c r="C69" s="103">
        <f t="shared" si="6"/>
        <v>964.01321086209146</v>
      </c>
      <c r="D69" s="103">
        <f t="shared" si="7"/>
        <v>186.12989263793369</v>
      </c>
      <c r="E69" s="103">
        <f t="shared" si="8"/>
        <v>11084.780187460014</v>
      </c>
      <c r="F69" s="103">
        <f t="shared" si="9"/>
        <v>777.88331822415773</v>
      </c>
      <c r="G69" s="103">
        <f t="shared" si="10"/>
        <v>38079.893566506653</v>
      </c>
      <c r="H69" s="103">
        <f t="shared" si="11"/>
        <v>111920.10643349335</v>
      </c>
    </row>
    <row r="70" spans="1:8" ht="14.55" x14ac:dyDescent="0.35">
      <c r="A70" s="101">
        <v>52</v>
      </c>
      <c r="B70" s="104">
        <f t="shared" si="5"/>
        <v>45780.3125</v>
      </c>
      <c r="C70" s="103">
        <f t="shared" si="6"/>
        <v>964.01321086209146</v>
      </c>
      <c r="D70" s="103">
        <f t="shared" si="7"/>
        <v>184.845155094479</v>
      </c>
      <c r="E70" s="103">
        <f t="shared" si="8"/>
        <v>11269.625342554493</v>
      </c>
      <c r="F70" s="103">
        <f t="shared" si="9"/>
        <v>779.16805576761249</v>
      </c>
      <c r="G70" s="103">
        <f t="shared" si="10"/>
        <v>38859.061622274268</v>
      </c>
      <c r="H70" s="103">
        <f t="shared" si="11"/>
        <v>111140.93837772573</v>
      </c>
    </row>
    <row r="71" spans="1:8" ht="14.55" x14ac:dyDescent="0.35">
      <c r="A71" s="101">
        <v>53</v>
      </c>
      <c r="B71" s="104">
        <f t="shared" si="5"/>
        <v>45810.75</v>
      </c>
      <c r="C71" s="103">
        <f t="shared" si="6"/>
        <v>964.01321086209146</v>
      </c>
      <c r="D71" s="103">
        <f t="shared" si="7"/>
        <v>183.55829570251967</v>
      </c>
      <c r="E71" s="103">
        <f t="shared" si="8"/>
        <v>11453.183638257013</v>
      </c>
      <c r="F71" s="103">
        <f t="shared" si="9"/>
        <v>780.45491515957178</v>
      </c>
      <c r="G71" s="103">
        <f t="shared" si="10"/>
        <v>39639.516537433839</v>
      </c>
      <c r="H71" s="103">
        <f t="shared" si="11"/>
        <v>110360.48346256616</v>
      </c>
    </row>
    <row r="72" spans="1:8" ht="14.55" x14ac:dyDescent="0.35">
      <c r="A72" s="101">
        <v>54</v>
      </c>
      <c r="B72" s="104">
        <f t="shared" si="5"/>
        <v>45841.1875</v>
      </c>
      <c r="C72" s="103">
        <f t="shared" si="6"/>
        <v>964.01321086209146</v>
      </c>
      <c r="D72" s="103">
        <f t="shared" si="7"/>
        <v>182.26931095765039</v>
      </c>
      <c r="E72" s="103">
        <f t="shared" si="8"/>
        <v>11635.452949214663</v>
      </c>
      <c r="F72" s="103">
        <f t="shared" si="9"/>
        <v>781.74389990444104</v>
      </c>
      <c r="G72" s="103">
        <f t="shared" si="10"/>
        <v>40421.260437338278</v>
      </c>
      <c r="H72" s="103">
        <f t="shared" si="11"/>
        <v>109578.73956266172</v>
      </c>
    </row>
    <row r="73" spans="1:8" ht="14.55" x14ac:dyDescent="0.35">
      <c r="A73" s="101">
        <v>55</v>
      </c>
      <c r="B73" s="104">
        <f t="shared" si="5"/>
        <v>45871.625</v>
      </c>
      <c r="C73" s="103">
        <f t="shared" si="6"/>
        <v>964.01321086209146</v>
      </c>
      <c r="D73" s="103">
        <f t="shared" si="7"/>
        <v>180.97819734967803</v>
      </c>
      <c r="E73" s="103">
        <f t="shared" si="8"/>
        <v>11816.43114656434</v>
      </c>
      <c r="F73" s="103">
        <f t="shared" si="9"/>
        <v>783.03501351241346</v>
      </c>
      <c r="G73" s="103">
        <f t="shared" si="10"/>
        <v>41204.295450850688</v>
      </c>
      <c r="H73" s="103">
        <f t="shared" si="11"/>
        <v>108795.70454914932</v>
      </c>
    </row>
    <row r="74" spans="1:8" ht="14.55" x14ac:dyDescent="0.35">
      <c r="A74" s="101">
        <v>56</v>
      </c>
      <c r="B74" s="104">
        <f t="shared" si="5"/>
        <v>45902.0625</v>
      </c>
      <c r="C74" s="103">
        <f t="shared" si="6"/>
        <v>964.01321086209146</v>
      </c>
      <c r="D74" s="103">
        <f t="shared" si="7"/>
        <v>179.68495136261208</v>
      </c>
      <c r="E74" s="103">
        <f t="shared" si="8"/>
        <v>11996.116097926952</v>
      </c>
      <c r="F74" s="103">
        <f t="shared" si="9"/>
        <v>784.32825949947937</v>
      </c>
      <c r="G74" s="103">
        <f t="shared" si="10"/>
        <v>41988.62371035017</v>
      </c>
      <c r="H74" s="103">
        <f t="shared" si="11"/>
        <v>108011.37628964984</v>
      </c>
    </row>
    <row r="75" spans="1:8" ht="14.55" x14ac:dyDescent="0.35">
      <c r="A75" s="101">
        <v>57</v>
      </c>
      <c r="B75" s="104">
        <f t="shared" si="5"/>
        <v>45932.5</v>
      </c>
      <c r="C75" s="103">
        <f t="shared" si="6"/>
        <v>964.01321086209146</v>
      </c>
      <c r="D75" s="103">
        <f t="shared" si="7"/>
        <v>178.3895694746551</v>
      </c>
      <c r="E75" s="103">
        <f t="shared" si="8"/>
        <v>12174.505667401607</v>
      </c>
      <c r="F75" s="103">
        <f t="shared" si="9"/>
        <v>785.62364138743635</v>
      </c>
      <c r="G75" s="103">
        <f t="shared" si="10"/>
        <v>42774.247351737606</v>
      </c>
      <c r="H75" s="103">
        <f t="shared" si="11"/>
        <v>107225.75264826239</v>
      </c>
    </row>
    <row r="76" spans="1:8" ht="14.55" x14ac:dyDescent="0.35">
      <c r="A76" s="101">
        <v>58</v>
      </c>
      <c r="B76" s="104">
        <f t="shared" si="5"/>
        <v>45962.9375</v>
      </c>
      <c r="C76" s="103">
        <f t="shared" si="6"/>
        <v>964.01321086209146</v>
      </c>
      <c r="D76" s="103">
        <f t="shared" si="7"/>
        <v>177.09204815819314</v>
      </c>
      <c r="E76" s="103">
        <f t="shared" si="8"/>
        <v>12351.597715559799</v>
      </c>
      <c r="F76" s="103">
        <f t="shared" si="9"/>
        <v>786.92116270389829</v>
      </c>
      <c r="G76" s="103">
        <f t="shared" si="10"/>
        <v>43561.168514441502</v>
      </c>
      <c r="H76" s="103">
        <f t="shared" si="11"/>
        <v>106438.8314855585</v>
      </c>
    </row>
    <row r="77" spans="1:8" ht="14.55" x14ac:dyDescent="0.35">
      <c r="A77" s="101">
        <v>59</v>
      </c>
      <c r="B77" s="104">
        <f t="shared" si="5"/>
        <v>45993.375</v>
      </c>
      <c r="C77" s="103">
        <f t="shared" si="6"/>
        <v>964.01321086209146</v>
      </c>
      <c r="D77" s="103">
        <f t="shared" si="7"/>
        <v>175.79238387978606</v>
      </c>
      <c r="E77" s="103">
        <f t="shared" si="8"/>
        <v>12527.390099439586</v>
      </c>
      <c r="F77" s="103">
        <f t="shared" si="9"/>
        <v>788.22082698230543</v>
      </c>
      <c r="G77" s="103">
        <f t="shared" si="10"/>
        <v>44349.389341423805</v>
      </c>
      <c r="H77" s="103">
        <f t="shared" si="11"/>
        <v>105650.61065857619</v>
      </c>
    </row>
    <row r="78" spans="1:8" ht="14.55" x14ac:dyDescent="0.35">
      <c r="A78" s="101">
        <v>60</v>
      </c>
      <c r="B78" s="104">
        <f t="shared" si="5"/>
        <v>46023.8125</v>
      </c>
      <c r="C78" s="103">
        <f t="shared" si="6"/>
        <v>964.01321086209146</v>
      </c>
      <c r="D78" s="103">
        <f t="shared" si="7"/>
        <v>174.49057310015797</v>
      </c>
      <c r="E78" s="103">
        <f t="shared" si="8"/>
        <v>12701.880672539744</v>
      </c>
      <c r="F78" s="103">
        <f t="shared" si="9"/>
        <v>789.52263776193354</v>
      </c>
      <c r="G78" s="103">
        <f t="shared" si="10"/>
        <v>45138.911979185737</v>
      </c>
      <c r="H78" s="103">
        <f t="shared" si="11"/>
        <v>104861.08802081426</v>
      </c>
    </row>
    <row r="79" spans="1:8" ht="14.55" x14ac:dyDescent="0.35">
      <c r="A79" s="101">
        <v>61</v>
      </c>
      <c r="B79" s="104">
        <f t="shared" si="5"/>
        <v>46054.25</v>
      </c>
      <c r="C79" s="103">
        <f t="shared" si="6"/>
        <v>964.01321086209146</v>
      </c>
      <c r="D79" s="103">
        <f t="shared" si="7"/>
        <v>173.18661227418764</v>
      </c>
      <c r="E79" s="103">
        <f t="shared" si="8"/>
        <v>12875.067284813933</v>
      </c>
      <c r="F79" s="103">
        <f t="shared" si="9"/>
        <v>790.82659858790385</v>
      </c>
      <c r="G79" s="103">
        <f t="shared" si="10"/>
        <v>45929.738577773642</v>
      </c>
      <c r="H79" s="103">
        <f t="shared" si="11"/>
        <v>104070.26142222635</v>
      </c>
    </row>
    <row r="80" spans="1:8" ht="14.55" x14ac:dyDescent="0.35">
      <c r="A80" s="101">
        <v>62</v>
      </c>
      <c r="B80" s="104">
        <f t="shared" si="5"/>
        <v>46084.6875</v>
      </c>
      <c r="C80" s="103">
        <f t="shared" si="6"/>
        <v>964.01321086209146</v>
      </c>
      <c r="D80" s="103">
        <f t="shared" si="7"/>
        <v>171.88049785089868</v>
      </c>
      <c r="E80" s="103">
        <f t="shared" si="8"/>
        <v>13046.947782664831</v>
      </c>
      <c r="F80" s="103">
        <f t="shared" si="9"/>
        <v>792.13271301119278</v>
      </c>
      <c r="G80" s="103">
        <f t="shared" si="10"/>
        <v>46721.871290784831</v>
      </c>
      <c r="H80" s="103">
        <f t="shared" si="11"/>
        <v>103278.12870921518</v>
      </c>
    </row>
    <row r="81" spans="1:8" ht="14.55" x14ac:dyDescent="0.35">
      <c r="A81" s="101">
        <v>63</v>
      </c>
      <c r="B81" s="104">
        <f t="shared" si="5"/>
        <v>46115.125</v>
      </c>
      <c r="C81" s="103">
        <f t="shared" si="6"/>
        <v>964.01321086209146</v>
      </c>
      <c r="D81" s="103">
        <f t="shared" si="7"/>
        <v>170.57222627345007</v>
      </c>
      <c r="E81" s="103">
        <f t="shared" si="8"/>
        <v>13217.520008938282</v>
      </c>
      <c r="F81" s="103">
        <f t="shared" si="9"/>
        <v>793.44098458864141</v>
      </c>
      <c r="G81" s="103">
        <f t="shared" si="10"/>
        <v>47515.312275373471</v>
      </c>
      <c r="H81" s="103">
        <f t="shared" si="11"/>
        <v>102484.68772462654</v>
      </c>
    </row>
    <row r="82" spans="1:8" ht="14.55" x14ac:dyDescent="0.35">
      <c r="A82" s="101">
        <v>64</v>
      </c>
      <c r="B82" s="104">
        <f t="shared" si="5"/>
        <v>46145.5625</v>
      </c>
      <c r="C82" s="103">
        <f t="shared" si="6"/>
        <v>964.01321086209146</v>
      </c>
      <c r="D82" s="103">
        <f t="shared" si="7"/>
        <v>169.26179397912631</v>
      </c>
      <c r="E82" s="103">
        <f t="shared" si="8"/>
        <v>13386.781802917409</v>
      </c>
      <c r="F82" s="103">
        <f t="shared" si="9"/>
        <v>794.75141688296515</v>
      </c>
      <c r="G82" s="103">
        <f t="shared" si="10"/>
        <v>48310.063692256437</v>
      </c>
      <c r="H82" s="103">
        <f t="shared" si="11"/>
        <v>101689.93630774357</v>
      </c>
    </row>
    <row r="83" spans="1:8" ht="14.55" x14ac:dyDescent="0.35">
      <c r="A83" s="101">
        <v>65</v>
      </c>
      <c r="B83" s="104">
        <f t="shared" si="5"/>
        <v>46176</v>
      </c>
      <c r="C83" s="103">
        <f t="shared" si="6"/>
        <v>964.01321086209146</v>
      </c>
      <c r="D83" s="103">
        <f t="shared" si="7"/>
        <v>167.9491973993278</v>
      </c>
      <c r="E83" s="103">
        <f t="shared" si="8"/>
        <v>13554.731000316737</v>
      </c>
      <c r="F83" s="103">
        <f t="shared" si="9"/>
        <v>796.06401346276368</v>
      </c>
      <c r="G83" s="103">
        <f t="shared" si="10"/>
        <v>49106.127705719198</v>
      </c>
      <c r="H83" s="103">
        <f t="shared" si="11"/>
        <v>100893.87229428079</v>
      </c>
    </row>
    <row r="84" spans="1:8" ht="14.55" x14ac:dyDescent="0.35">
      <c r="A84" s="101">
        <v>66</v>
      </c>
      <c r="B84" s="104">
        <f t="shared" ref="B84:B147" si="12">IF(H83&lt;0.5,"",B83+(30.4375)*G$14)</f>
        <v>46206.4375</v>
      </c>
      <c r="C84" s="103">
        <f t="shared" ref="C84:C147" si="13">IF(H83&lt;0.5,0,C83)</f>
        <v>964.01321086209146</v>
      </c>
      <c r="D84" s="103">
        <f t="shared" ref="D84:D147" si="14">IF(H83&lt;0.5,0,H83*C$12)</f>
        <v>166.63443295956111</v>
      </c>
      <c r="E84" s="103">
        <f t="shared" ref="E84:E147" si="15">IF(H83&lt;0.5,0,E83+D84)</f>
        <v>13721.365433276298</v>
      </c>
      <c r="F84" s="103">
        <f t="shared" ref="F84:F147" si="16">IF(H83&lt;0.5,0,C84-D84)</f>
        <v>797.37877790253037</v>
      </c>
      <c r="G84" s="103">
        <f t="shared" ref="G84:G147" si="17">IF(H83&lt;0.5,0,F84+G83)</f>
        <v>49903.506483621728</v>
      </c>
      <c r="H84" s="103">
        <f t="shared" ref="H84:H147" si="18">IF(H83&lt;0.5,0,G$10-G84)</f>
        <v>100096.49351637828</v>
      </c>
    </row>
    <row r="85" spans="1:8" ht="14.55" x14ac:dyDescent="0.35">
      <c r="A85" s="101">
        <v>67</v>
      </c>
      <c r="B85" s="104">
        <f t="shared" si="12"/>
        <v>46236.875</v>
      </c>
      <c r="C85" s="103">
        <f t="shared" si="13"/>
        <v>964.01321086209146</v>
      </c>
      <c r="D85" s="103">
        <f t="shared" si="14"/>
        <v>165.3174970794293</v>
      </c>
      <c r="E85" s="103">
        <f t="shared" si="15"/>
        <v>13886.682930355728</v>
      </c>
      <c r="F85" s="103">
        <f t="shared" si="16"/>
        <v>798.6957137826621</v>
      </c>
      <c r="G85" s="103">
        <f t="shared" si="17"/>
        <v>50702.202197404389</v>
      </c>
      <c r="H85" s="103">
        <f t="shared" si="18"/>
        <v>99297.797802595611</v>
      </c>
    </row>
    <row r="86" spans="1:8" ht="14.55" x14ac:dyDescent="0.35">
      <c r="A86" s="101">
        <v>68</v>
      </c>
      <c r="B86" s="104">
        <f t="shared" si="12"/>
        <v>46267.3125</v>
      </c>
      <c r="C86" s="103">
        <f t="shared" si="13"/>
        <v>964.01321086209146</v>
      </c>
      <c r="D86" s="103">
        <f t="shared" si="14"/>
        <v>163.99838617262202</v>
      </c>
      <c r="E86" s="103">
        <f t="shared" si="15"/>
        <v>14050.681316528349</v>
      </c>
      <c r="F86" s="103">
        <f t="shared" si="16"/>
        <v>800.01482468946938</v>
      </c>
      <c r="G86" s="103">
        <f t="shared" si="17"/>
        <v>51502.217022093857</v>
      </c>
      <c r="H86" s="103">
        <f t="shared" si="18"/>
        <v>98497.782977906143</v>
      </c>
    </row>
    <row r="87" spans="1:8" ht="14.55" x14ac:dyDescent="0.35">
      <c r="A87" s="101">
        <v>69</v>
      </c>
      <c r="B87" s="104">
        <f t="shared" si="12"/>
        <v>46297.75</v>
      </c>
      <c r="C87" s="103">
        <f t="shared" si="13"/>
        <v>964.01321086209146</v>
      </c>
      <c r="D87" s="103">
        <f t="shared" si="14"/>
        <v>162.67709664690591</v>
      </c>
      <c r="E87" s="103">
        <f t="shared" si="15"/>
        <v>14213.358413175256</v>
      </c>
      <c r="F87" s="103">
        <f t="shared" si="16"/>
        <v>801.33611421518549</v>
      </c>
      <c r="G87" s="103">
        <f t="shared" si="17"/>
        <v>52303.553136309041</v>
      </c>
      <c r="H87" s="103">
        <f t="shared" si="18"/>
        <v>97696.446863690959</v>
      </c>
    </row>
    <row r="88" spans="1:8" ht="14.55" x14ac:dyDescent="0.35">
      <c r="A88" s="101">
        <v>70</v>
      </c>
      <c r="B88" s="104">
        <f t="shared" si="12"/>
        <v>46328.1875</v>
      </c>
      <c r="C88" s="103">
        <f t="shared" si="13"/>
        <v>964.01321086209146</v>
      </c>
      <c r="D88" s="103">
        <f t="shared" si="14"/>
        <v>161.35362490411472</v>
      </c>
      <c r="E88" s="103">
        <f t="shared" si="15"/>
        <v>14374.712038079371</v>
      </c>
      <c r="F88" s="103">
        <f t="shared" si="16"/>
        <v>802.65958595797679</v>
      </c>
      <c r="G88" s="103">
        <f t="shared" si="17"/>
        <v>53106.212722267017</v>
      </c>
      <c r="H88" s="103">
        <f t="shared" si="18"/>
        <v>96893.787277732976</v>
      </c>
    </row>
    <row r="89" spans="1:8" ht="14.55" x14ac:dyDescent="0.35">
      <c r="A89" s="101">
        <v>71</v>
      </c>
      <c r="B89" s="104">
        <f t="shared" si="12"/>
        <v>46358.625</v>
      </c>
      <c r="C89" s="103">
        <f t="shared" si="13"/>
        <v>964.01321086209146</v>
      </c>
      <c r="D89" s="103">
        <f t="shared" si="14"/>
        <v>160.02796734013947</v>
      </c>
      <c r="E89" s="103">
        <f t="shared" si="15"/>
        <v>14534.740005419511</v>
      </c>
      <c r="F89" s="103">
        <f t="shared" si="16"/>
        <v>803.98524352195204</v>
      </c>
      <c r="G89" s="103">
        <f t="shared" si="17"/>
        <v>53910.197965788968</v>
      </c>
      <c r="H89" s="103">
        <f t="shared" si="18"/>
        <v>96089.802034211025</v>
      </c>
    </row>
    <row r="90" spans="1:8" ht="14.55" x14ac:dyDescent="0.35">
      <c r="A90" s="101">
        <v>72</v>
      </c>
      <c r="B90" s="104">
        <f t="shared" si="12"/>
        <v>46389.0625</v>
      </c>
      <c r="C90" s="103">
        <f t="shared" si="13"/>
        <v>964.01321086209146</v>
      </c>
      <c r="D90" s="103">
        <f t="shared" si="14"/>
        <v>158.70012034491884</v>
      </c>
      <c r="E90" s="103">
        <f t="shared" si="15"/>
        <v>14693.440125764429</v>
      </c>
      <c r="F90" s="103">
        <f t="shared" si="16"/>
        <v>805.31309051717267</v>
      </c>
      <c r="G90" s="103">
        <f t="shared" si="17"/>
        <v>54715.511056306139</v>
      </c>
      <c r="H90" s="103">
        <f t="shared" si="18"/>
        <v>95284.488943693868</v>
      </c>
    </row>
    <row r="91" spans="1:8" ht="14.55" x14ac:dyDescent="0.35">
      <c r="A91" s="101">
        <v>73</v>
      </c>
      <c r="B91" s="104">
        <f t="shared" si="12"/>
        <v>46419.5</v>
      </c>
      <c r="C91" s="103">
        <f t="shared" si="13"/>
        <v>964.01321086209146</v>
      </c>
      <c r="D91" s="103">
        <f t="shared" si="14"/>
        <v>157.37008030242913</v>
      </c>
      <c r="E91" s="103">
        <f t="shared" si="15"/>
        <v>14850.810206066859</v>
      </c>
      <c r="F91" s="103">
        <f t="shared" si="16"/>
        <v>806.64313055966227</v>
      </c>
      <c r="G91" s="103">
        <f t="shared" si="17"/>
        <v>55522.154186865802</v>
      </c>
      <c r="H91" s="103">
        <f t="shared" si="18"/>
        <v>94477.84581313419</v>
      </c>
    </row>
    <row r="92" spans="1:8" ht="14.55" x14ac:dyDescent="0.35">
      <c r="A92" s="101">
        <v>74</v>
      </c>
      <c r="B92" s="104">
        <f t="shared" si="12"/>
        <v>46449.9375</v>
      </c>
      <c r="C92" s="103">
        <f t="shared" si="13"/>
        <v>964.01321086209146</v>
      </c>
      <c r="D92" s="103">
        <f t="shared" si="14"/>
        <v>156.03784359067436</v>
      </c>
      <c r="E92" s="103">
        <f t="shared" si="15"/>
        <v>15006.848049657534</v>
      </c>
      <c r="F92" s="103">
        <f t="shared" si="16"/>
        <v>807.9753672714171</v>
      </c>
      <c r="G92" s="103">
        <f t="shared" si="17"/>
        <v>56330.129554137216</v>
      </c>
      <c r="H92" s="103">
        <f t="shared" si="18"/>
        <v>93669.870445862791</v>
      </c>
    </row>
    <row r="93" spans="1:8" ht="14.55" x14ac:dyDescent="0.35">
      <c r="A93" s="101">
        <v>75</v>
      </c>
      <c r="B93" s="104">
        <f t="shared" si="12"/>
        <v>46480.375</v>
      </c>
      <c r="C93" s="103">
        <f t="shared" si="13"/>
        <v>964.01321086209146</v>
      </c>
      <c r="D93" s="103">
        <f t="shared" si="14"/>
        <v>154.7034065816768</v>
      </c>
      <c r="E93" s="103">
        <f t="shared" si="15"/>
        <v>15161.551456239211</v>
      </c>
      <c r="F93" s="103">
        <f t="shared" si="16"/>
        <v>809.30980428041471</v>
      </c>
      <c r="G93" s="103">
        <f t="shared" si="17"/>
        <v>57139.439358417629</v>
      </c>
      <c r="H93" s="103">
        <f t="shared" si="18"/>
        <v>92860.560641582371</v>
      </c>
    </row>
    <row r="94" spans="1:8" ht="14.55" x14ac:dyDescent="0.35">
      <c r="A94" s="101">
        <v>76</v>
      </c>
      <c r="B94" s="104">
        <f t="shared" si="12"/>
        <v>46510.8125</v>
      </c>
      <c r="C94" s="103">
        <f t="shared" si="13"/>
        <v>964.01321086209146</v>
      </c>
      <c r="D94" s="103">
        <f t="shared" si="14"/>
        <v>153.36676564146654</v>
      </c>
      <c r="E94" s="103">
        <f t="shared" si="15"/>
        <v>15314.918221880678</v>
      </c>
      <c r="F94" s="103">
        <f t="shared" si="16"/>
        <v>810.64644522062486</v>
      </c>
      <c r="G94" s="103">
        <f t="shared" si="17"/>
        <v>57950.085803638256</v>
      </c>
      <c r="H94" s="103">
        <f t="shared" si="18"/>
        <v>92049.914196361744</v>
      </c>
    </row>
    <row r="95" spans="1:8" ht="14.55" x14ac:dyDescent="0.35">
      <c r="A95" s="101">
        <v>77</v>
      </c>
      <c r="B95" s="104">
        <f t="shared" si="12"/>
        <v>46541.25</v>
      </c>
      <c r="C95" s="103">
        <f t="shared" si="13"/>
        <v>964.01321086209146</v>
      </c>
      <c r="D95" s="103">
        <f t="shared" si="14"/>
        <v>152.02791713007204</v>
      </c>
      <c r="E95" s="103">
        <f t="shared" si="15"/>
        <v>15466.94613901075</v>
      </c>
      <c r="F95" s="103">
        <f t="shared" si="16"/>
        <v>811.98529373201939</v>
      </c>
      <c r="G95" s="103">
        <f t="shared" si="17"/>
        <v>58762.071097370273</v>
      </c>
      <c r="H95" s="103">
        <f t="shared" si="18"/>
        <v>91237.928902629734</v>
      </c>
    </row>
    <row r="96" spans="1:8" ht="14.55" x14ac:dyDescent="0.35">
      <c r="A96" s="101">
        <v>78</v>
      </c>
      <c r="B96" s="104">
        <f t="shared" si="12"/>
        <v>46571.6875</v>
      </c>
      <c r="C96" s="103">
        <f t="shared" si="13"/>
        <v>964.01321086209146</v>
      </c>
      <c r="D96" s="103">
        <f t="shared" si="14"/>
        <v>150.68685740151005</v>
      </c>
      <c r="E96" s="103">
        <f t="shared" si="15"/>
        <v>15617.63299641226</v>
      </c>
      <c r="F96" s="103">
        <f t="shared" si="16"/>
        <v>813.32635346058146</v>
      </c>
      <c r="G96" s="103">
        <f t="shared" si="17"/>
        <v>59575.397450830853</v>
      </c>
      <c r="H96" s="103">
        <f t="shared" si="18"/>
        <v>90424.602549169154</v>
      </c>
    </row>
    <row r="97" spans="1:8" ht="14.55" x14ac:dyDescent="0.35">
      <c r="A97" s="101">
        <v>79</v>
      </c>
      <c r="B97" s="104">
        <f t="shared" si="12"/>
        <v>46602.125</v>
      </c>
      <c r="C97" s="103">
        <f t="shared" si="13"/>
        <v>964.01321086209146</v>
      </c>
      <c r="D97" s="103">
        <f t="shared" si="14"/>
        <v>149.3435828037756</v>
      </c>
      <c r="E97" s="103">
        <f t="shared" si="15"/>
        <v>15766.976579216036</v>
      </c>
      <c r="F97" s="103">
        <f t="shared" si="16"/>
        <v>814.66962805831588</v>
      </c>
      <c r="G97" s="103">
        <f t="shared" si="17"/>
        <v>60390.067078889166</v>
      </c>
      <c r="H97" s="103">
        <f t="shared" si="18"/>
        <v>89609.932921110827</v>
      </c>
    </row>
    <row r="98" spans="1:8" ht="14.55" x14ac:dyDescent="0.35">
      <c r="A98" s="101">
        <v>80</v>
      </c>
      <c r="B98" s="104">
        <f t="shared" si="12"/>
        <v>46632.5625</v>
      </c>
      <c r="C98" s="103">
        <f t="shared" si="13"/>
        <v>964.01321086209146</v>
      </c>
      <c r="D98" s="103">
        <f t="shared" si="14"/>
        <v>147.99808967883217</v>
      </c>
      <c r="E98" s="103">
        <f t="shared" si="15"/>
        <v>15914.974668894869</v>
      </c>
      <c r="F98" s="103">
        <f t="shared" si="16"/>
        <v>816.01512118325923</v>
      </c>
      <c r="G98" s="103">
        <f t="shared" si="17"/>
        <v>61206.082200072422</v>
      </c>
      <c r="H98" s="103">
        <f t="shared" si="18"/>
        <v>88793.917799927585</v>
      </c>
    </row>
    <row r="99" spans="1:8" ht="14.55" x14ac:dyDescent="0.35">
      <c r="A99" s="101">
        <v>81</v>
      </c>
      <c r="B99" s="104">
        <f t="shared" si="12"/>
        <v>46663</v>
      </c>
      <c r="C99" s="103">
        <f t="shared" si="13"/>
        <v>964.01321086209146</v>
      </c>
      <c r="D99" s="103">
        <f t="shared" si="14"/>
        <v>146.65037436260175</v>
      </c>
      <c r="E99" s="103">
        <f t="shared" si="15"/>
        <v>16061.625043257471</v>
      </c>
      <c r="F99" s="103">
        <f t="shared" si="16"/>
        <v>817.36283649948973</v>
      </c>
      <c r="G99" s="103">
        <f t="shared" si="17"/>
        <v>62023.445036571909</v>
      </c>
      <c r="H99" s="103">
        <f t="shared" si="18"/>
        <v>87976.554963428091</v>
      </c>
    </row>
    <row r="100" spans="1:8" ht="14.55" x14ac:dyDescent="0.35">
      <c r="A100" s="101">
        <v>82</v>
      </c>
      <c r="B100" s="104">
        <f t="shared" si="12"/>
        <v>46693.4375</v>
      </c>
      <c r="C100" s="103">
        <f t="shared" si="13"/>
        <v>964.01321086209146</v>
      </c>
      <c r="D100" s="103">
        <f t="shared" si="14"/>
        <v>145.30043318495473</v>
      </c>
      <c r="E100" s="103">
        <f t="shared" si="15"/>
        <v>16206.925476442426</v>
      </c>
      <c r="F100" s="103">
        <f t="shared" si="16"/>
        <v>818.71277767713673</v>
      </c>
      <c r="G100" s="103">
        <f t="shared" si="17"/>
        <v>62842.157814249047</v>
      </c>
      <c r="H100" s="103">
        <f t="shared" si="18"/>
        <v>87157.842185750953</v>
      </c>
    </row>
    <row r="101" spans="1:8" ht="14.55" x14ac:dyDescent="0.35">
      <c r="A101" s="101">
        <v>83</v>
      </c>
      <c r="B101" s="104">
        <f t="shared" si="12"/>
        <v>46723.875</v>
      </c>
      <c r="C101" s="103">
        <f t="shared" si="13"/>
        <v>964.01321086209146</v>
      </c>
      <c r="D101" s="103">
        <f t="shared" si="14"/>
        <v>143.94826246969998</v>
      </c>
      <c r="E101" s="103">
        <f t="shared" si="15"/>
        <v>16350.873738912125</v>
      </c>
      <c r="F101" s="103">
        <f t="shared" si="16"/>
        <v>820.06494839239144</v>
      </c>
      <c r="G101" s="103">
        <f t="shared" si="17"/>
        <v>63662.222762641439</v>
      </c>
      <c r="H101" s="103">
        <f t="shared" si="18"/>
        <v>86337.777237358561</v>
      </c>
    </row>
    <row r="102" spans="1:8" ht="14.55" x14ac:dyDescent="0.35">
      <c r="A102" s="101">
        <v>84</v>
      </c>
      <c r="B102" s="104">
        <f t="shared" si="12"/>
        <v>46754.3125</v>
      </c>
      <c r="C102" s="103">
        <f t="shared" si="13"/>
        <v>964.01321086209146</v>
      </c>
      <c r="D102" s="103">
        <f t="shared" si="14"/>
        <v>142.59385853457493</v>
      </c>
      <c r="E102" s="103">
        <f t="shared" si="15"/>
        <v>16493.467597446699</v>
      </c>
      <c r="F102" s="103">
        <f t="shared" si="16"/>
        <v>821.41935232751655</v>
      </c>
      <c r="G102" s="103">
        <f t="shared" si="17"/>
        <v>64483.642114968956</v>
      </c>
      <c r="H102" s="103">
        <f t="shared" si="18"/>
        <v>85516.357885031044</v>
      </c>
    </row>
    <row r="103" spans="1:8" ht="14.55" x14ac:dyDescent="0.35">
      <c r="A103" s="101">
        <v>85</v>
      </c>
      <c r="B103" s="104">
        <f t="shared" si="12"/>
        <v>46784.75</v>
      </c>
      <c r="C103" s="103">
        <f t="shared" si="13"/>
        <v>964.01321086209146</v>
      </c>
      <c r="D103" s="103">
        <f t="shared" si="14"/>
        <v>141.2372176912354</v>
      </c>
      <c r="E103" s="103">
        <f t="shared" si="15"/>
        <v>16634.704815137935</v>
      </c>
      <c r="F103" s="103">
        <f t="shared" si="16"/>
        <v>822.77599317085605</v>
      </c>
      <c r="G103" s="103">
        <f t="shared" si="17"/>
        <v>65306.418108139813</v>
      </c>
      <c r="H103" s="103">
        <f t="shared" si="18"/>
        <v>84693.581891860187</v>
      </c>
    </row>
    <row r="104" spans="1:8" ht="14.55" x14ac:dyDescent="0.35">
      <c r="A104" s="101">
        <v>86</v>
      </c>
      <c r="B104" s="104">
        <f t="shared" si="12"/>
        <v>46815.1875</v>
      </c>
      <c r="C104" s="103">
        <f t="shared" si="13"/>
        <v>964.01321086209146</v>
      </c>
      <c r="D104" s="103">
        <f t="shared" si="14"/>
        <v>139.87833624524558</v>
      </c>
      <c r="E104" s="103">
        <f t="shared" si="15"/>
        <v>16774.58315138318</v>
      </c>
      <c r="F104" s="103">
        <f t="shared" si="16"/>
        <v>824.13487461684588</v>
      </c>
      <c r="G104" s="103">
        <f t="shared" si="17"/>
        <v>66130.552982756664</v>
      </c>
      <c r="H104" s="103">
        <f t="shared" si="18"/>
        <v>83869.447017243336</v>
      </c>
    </row>
    <row r="105" spans="1:8" ht="14.55" x14ac:dyDescent="0.35">
      <c r="A105" s="101">
        <v>87</v>
      </c>
      <c r="B105" s="104">
        <f t="shared" si="12"/>
        <v>46845.625</v>
      </c>
      <c r="C105" s="103">
        <f t="shared" si="13"/>
        <v>964.01321086209146</v>
      </c>
      <c r="D105" s="103">
        <f t="shared" si="14"/>
        <v>138.517210496068</v>
      </c>
      <c r="E105" s="103">
        <f t="shared" si="15"/>
        <v>16913.100361879249</v>
      </c>
      <c r="F105" s="103">
        <f t="shared" si="16"/>
        <v>825.49600036602351</v>
      </c>
      <c r="G105" s="103">
        <f t="shared" si="17"/>
        <v>66956.048983122688</v>
      </c>
      <c r="H105" s="103">
        <f t="shared" si="18"/>
        <v>83043.951016877312</v>
      </c>
    </row>
    <row r="106" spans="1:8" ht="14.55" x14ac:dyDescent="0.35">
      <c r="A106" s="101">
        <v>88</v>
      </c>
      <c r="B106" s="104">
        <f t="shared" si="12"/>
        <v>46876.0625</v>
      </c>
      <c r="C106" s="103">
        <f t="shared" si="13"/>
        <v>964.01321086209146</v>
      </c>
      <c r="D106" s="103">
        <f t="shared" si="14"/>
        <v>137.15383673705355</v>
      </c>
      <c r="E106" s="103">
        <f t="shared" si="15"/>
        <v>17050.254198616301</v>
      </c>
      <c r="F106" s="103">
        <f t="shared" si="16"/>
        <v>826.8593741250379</v>
      </c>
      <c r="G106" s="103">
        <f t="shared" si="17"/>
        <v>67782.908357247725</v>
      </c>
      <c r="H106" s="103">
        <f t="shared" si="18"/>
        <v>82217.091642752275</v>
      </c>
    </row>
    <row r="107" spans="1:8" ht="14.55" x14ac:dyDescent="0.35">
      <c r="A107" s="101">
        <v>89</v>
      </c>
      <c r="B107" s="104">
        <f t="shared" si="12"/>
        <v>46906.5</v>
      </c>
      <c r="C107" s="103">
        <f t="shared" si="13"/>
        <v>964.01321086209146</v>
      </c>
      <c r="D107" s="103">
        <f t="shared" si="14"/>
        <v>135.78821125543118</v>
      </c>
      <c r="E107" s="103">
        <f t="shared" si="15"/>
        <v>17186.042409871734</v>
      </c>
      <c r="F107" s="103">
        <f t="shared" si="16"/>
        <v>828.22499960666028</v>
      </c>
      <c r="G107" s="103">
        <f t="shared" si="17"/>
        <v>68611.133356854378</v>
      </c>
      <c r="H107" s="103">
        <f t="shared" si="18"/>
        <v>81388.866643145622</v>
      </c>
    </row>
    <row r="108" spans="1:8" ht="14.55" x14ac:dyDescent="0.35">
      <c r="A108" s="101">
        <v>90</v>
      </c>
      <c r="B108" s="104">
        <f t="shared" si="12"/>
        <v>46936.9375</v>
      </c>
      <c r="C108" s="103">
        <f t="shared" si="13"/>
        <v>964.01321086209146</v>
      </c>
      <c r="D108" s="103">
        <f t="shared" si="14"/>
        <v>134.42033033229794</v>
      </c>
      <c r="E108" s="103">
        <f t="shared" si="15"/>
        <v>17320.462740204031</v>
      </c>
      <c r="F108" s="103">
        <f t="shared" si="16"/>
        <v>829.59288052979355</v>
      </c>
      <c r="G108" s="103">
        <f t="shared" si="17"/>
        <v>69440.726237384166</v>
      </c>
      <c r="H108" s="103">
        <f t="shared" si="18"/>
        <v>80559.273762615834</v>
      </c>
    </row>
    <row r="109" spans="1:8" ht="14.55" x14ac:dyDescent="0.35">
      <c r="A109" s="101">
        <v>91</v>
      </c>
      <c r="B109" s="104">
        <f t="shared" si="12"/>
        <v>46967.375</v>
      </c>
      <c r="C109" s="103">
        <f t="shared" si="13"/>
        <v>964.01321086209146</v>
      </c>
      <c r="D109" s="103">
        <f t="shared" si="14"/>
        <v>133.05019024260881</v>
      </c>
      <c r="E109" s="103">
        <f t="shared" si="15"/>
        <v>17453.512930446639</v>
      </c>
      <c r="F109" s="103">
        <f t="shared" si="16"/>
        <v>830.96302061948268</v>
      </c>
      <c r="G109" s="103">
        <f t="shared" si="17"/>
        <v>70271.689258003651</v>
      </c>
      <c r="H109" s="103">
        <f t="shared" si="18"/>
        <v>79728.310741996349</v>
      </c>
    </row>
    <row r="110" spans="1:8" ht="14.55" x14ac:dyDescent="0.35">
      <c r="A110" s="101">
        <v>92</v>
      </c>
      <c r="B110" s="104">
        <f t="shared" si="12"/>
        <v>46997.8125</v>
      </c>
      <c r="C110" s="103">
        <f t="shared" si="13"/>
        <v>964.01321086209146</v>
      </c>
      <c r="D110" s="103">
        <f t="shared" si="14"/>
        <v>131.67778725516652</v>
      </c>
      <c r="E110" s="103">
        <f t="shared" si="15"/>
        <v>17585.190717701804</v>
      </c>
      <c r="F110" s="103">
        <f t="shared" si="16"/>
        <v>832.33542360692491</v>
      </c>
      <c r="G110" s="103">
        <f t="shared" si="17"/>
        <v>71104.024681610579</v>
      </c>
      <c r="H110" s="103">
        <f t="shared" si="18"/>
        <v>78895.975318389421</v>
      </c>
    </row>
    <row r="111" spans="1:8" ht="14.55" x14ac:dyDescent="0.35">
      <c r="A111" s="101">
        <v>93</v>
      </c>
      <c r="B111" s="104">
        <f t="shared" si="12"/>
        <v>47028.25</v>
      </c>
      <c r="C111" s="103">
        <f t="shared" si="13"/>
        <v>964.01321086209146</v>
      </c>
      <c r="D111" s="103">
        <f t="shared" si="14"/>
        <v>130.30311763261147</v>
      </c>
      <c r="E111" s="103">
        <f t="shared" si="15"/>
        <v>17715.493835334415</v>
      </c>
      <c r="F111" s="103">
        <f t="shared" si="16"/>
        <v>833.71009322947998</v>
      </c>
      <c r="G111" s="103">
        <f t="shared" si="17"/>
        <v>71937.734774840064</v>
      </c>
      <c r="H111" s="103">
        <f t="shared" si="18"/>
        <v>78062.265225159936</v>
      </c>
    </row>
    <row r="112" spans="1:8" ht="14.55" x14ac:dyDescent="0.35">
      <c r="A112" s="101">
        <v>94</v>
      </c>
      <c r="B112" s="104">
        <f t="shared" si="12"/>
        <v>47058.6875</v>
      </c>
      <c r="C112" s="103">
        <f t="shared" si="13"/>
        <v>964.01321086209146</v>
      </c>
      <c r="D112" s="103">
        <f t="shared" si="14"/>
        <v>128.92617763141149</v>
      </c>
      <c r="E112" s="103">
        <f t="shared" si="15"/>
        <v>17844.420012965827</v>
      </c>
      <c r="F112" s="103">
        <f t="shared" si="16"/>
        <v>835.08703323067994</v>
      </c>
      <c r="G112" s="103">
        <f t="shared" si="17"/>
        <v>72772.821808070745</v>
      </c>
      <c r="H112" s="103">
        <f t="shared" si="18"/>
        <v>77227.178191929255</v>
      </c>
    </row>
    <row r="113" spans="1:8" ht="14.55" x14ac:dyDescent="0.35">
      <c r="A113" s="101">
        <v>95</v>
      </c>
      <c r="B113" s="104">
        <f t="shared" si="12"/>
        <v>47089.125</v>
      </c>
      <c r="C113" s="103">
        <f t="shared" si="13"/>
        <v>964.01321086209146</v>
      </c>
      <c r="D113" s="103">
        <f t="shared" si="14"/>
        <v>127.54696350185166</v>
      </c>
      <c r="E113" s="103">
        <f t="shared" si="15"/>
        <v>17971.96697646768</v>
      </c>
      <c r="F113" s="103">
        <f t="shared" si="16"/>
        <v>836.46624736023978</v>
      </c>
      <c r="G113" s="103">
        <f t="shared" si="17"/>
        <v>73609.288055430981</v>
      </c>
      <c r="H113" s="103">
        <f t="shared" si="18"/>
        <v>76390.711944569019</v>
      </c>
    </row>
    <row r="114" spans="1:8" ht="14.55" x14ac:dyDescent="0.35">
      <c r="A114" s="101">
        <v>96</v>
      </c>
      <c r="B114" s="104">
        <f t="shared" si="12"/>
        <v>47119.5625</v>
      </c>
      <c r="C114" s="103">
        <f t="shared" si="13"/>
        <v>964.01321086209146</v>
      </c>
      <c r="D114" s="103">
        <f t="shared" si="14"/>
        <v>126.16547148802411</v>
      </c>
      <c r="E114" s="103">
        <f t="shared" si="15"/>
        <v>18098.132447955704</v>
      </c>
      <c r="F114" s="103">
        <f t="shared" si="16"/>
        <v>837.84773937406737</v>
      </c>
      <c r="G114" s="103">
        <f t="shared" si="17"/>
        <v>74447.135794805043</v>
      </c>
      <c r="H114" s="103">
        <f t="shared" si="18"/>
        <v>75552.864205194957</v>
      </c>
    </row>
    <row r="115" spans="1:8" ht="14.55" x14ac:dyDescent="0.35">
      <c r="A115" s="101">
        <v>97</v>
      </c>
      <c r="B115" s="104">
        <f t="shared" si="12"/>
        <v>47150</v>
      </c>
      <c r="C115" s="103">
        <f t="shared" si="13"/>
        <v>964.01321086209146</v>
      </c>
      <c r="D115" s="103">
        <f t="shared" si="14"/>
        <v>124.78169782781778</v>
      </c>
      <c r="E115" s="103">
        <f t="shared" si="15"/>
        <v>18222.914145783521</v>
      </c>
      <c r="F115" s="103">
        <f t="shared" si="16"/>
        <v>839.23151303427369</v>
      </c>
      <c r="G115" s="103">
        <f t="shared" si="17"/>
        <v>75286.367307839319</v>
      </c>
      <c r="H115" s="103">
        <f t="shared" si="18"/>
        <v>74713.632692160681</v>
      </c>
    </row>
    <row r="116" spans="1:8" ht="14.55" x14ac:dyDescent="0.35">
      <c r="A116" s="101">
        <v>98</v>
      </c>
      <c r="B116" s="104">
        <f t="shared" si="12"/>
        <v>47180.4375</v>
      </c>
      <c r="C116" s="103">
        <f t="shared" si="13"/>
        <v>964.01321086209146</v>
      </c>
      <c r="D116" s="103">
        <f t="shared" si="14"/>
        <v>123.39563875290816</v>
      </c>
      <c r="E116" s="103">
        <f t="shared" si="15"/>
        <v>18346.309784536428</v>
      </c>
      <c r="F116" s="103">
        <f t="shared" si="16"/>
        <v>840.61757210918336</v>
      </c>
      <c r="G116" s="103">
        <f t="shared" si="17"/>
        <v>76126.984879948504</v>
      </c>
      <c r="H116" s="103">
        <f t="shared" si="18"/>
        <v>73873.015120051496</v>
      </c>
    </row>
    <row r="117" spans="1:8" ht="14.55" x14ac:dyDescent="0.35">
      <c r="A117" s="101">
        <v>99</v>
      </c>
      <c r="B117" s="104">
        <f t="shared" si="12"/>
        <v>47210.875</v>
      </c>
      <c r="C117" s="103">
        <f t="shared" si="13"/>
        <v>964.01321086209146</v>
      </c>
      <c r="D117" s="103">
        <f t="shared" si="14"/>
        <v>122.00729048874705</v>
      </c>
      <c r="E117" s="103">
        <f t="shared" si="15"/>
        <v>18468.317075025174</v>
      </c>
      <c r="F117" s="103">
        <f t="shared" si="16"/>
        <v>842.00592037334445</v>
      </c>
      <c r="G117" s="103">
        <f t="shared" si="17"/>
        <v>76968.990800321844</v>
      </c>
      <c r="H117" s="103">
        <f t="shared" si="18"/>
        <v>73031.009199678156</v>
      </c>
    </row>
    <row r="118" spans="1:8" ht="14.55" x14ac:dyDescent="0.35">
      <c r="A118" s="101">
        <v>100</v>
      </c>
      <c r="B118" s="104">
        <f t="shared" si="12"/>
        <v>47241.3125</v>
      </c>
      <c r="C118" s="103">
        <f t="shared" si="13"/>
        <v>964.01321086209146</v>
      </c>
      <c r="D118" s="103">
        <f t="shared" si="14"/>
        <v>120.61664925455231</v>
      </c>
      <c r="E118" s="103">
        <f t="shared" si="15"/>
        <v>18588.933724279726</v>
      </c>
      <c r="F118" s="103">
        <f t="shared" si="16"/>
        <v>843.39656160753918</v>
      </c>
      <c r="G118" s="103">
        <f t="shared" si="17"/>
        <v>77812.387361929388</v>
      </c>
      <c r="H118" s="103">
        <f t="shared" si="18"/>
        <v>72187.612638070612</v>
      </c>
    </row>
    <row r="119" spans="1:8" ht="14.55" x14ac:dyDescent="0.35">
      <c r="A119" s="101">
        <v>101</v>
      </c>
      <c r="B119" s="104">
        <f t="shared" si="12"/>
        <v>47271.75</v>
      </c>
      <c r="C119" s="103">
        <f t="shared" si="13"/>
        <v>964.01321086209146</v>
      </c>
      <c r="D119" s="103">
        <f t="shared" si="14"/>
        <v>119.22371126329749</v>
      </c>
      <c r="E119" s="103">
        <f t="shared" si="15"/>
        <v>18708.157435543024</v>
      </c>
      <c r="F119" s="103">
        <f t="shared" si="16"/>
        <v>844.78949959879401</v>
      </c>
      <c r="G119" s="103">
        <f t="shared" si="17"/>
        <v>78657.176861528176</v>
      </c>
      <c r="H119" s="103">
        <f t="shared" si="18"/>
        <v>71342.823138471824</v>
      </c>
    </row>
    <row r="120" spans="1:8" ht="14.55" x14ac:dyDescent="0.35">
      <c r="A120" s="101">
        <v>102</v>
      </c>
      <c r="B120" s="104">
        <f t="shared" si="12"/>
        <v>47302.1875</v>
      </c>
      <c r="C120" s="103">
        <f t="shared" si="13"/>
        <v>964.01321086209146</v>
      </c>
      <c r="D120" s="103">
        <f t="shared" si="14"/>
        <v>117.82847272170159</v>
      </c>
      <c r="E120" s="103">
        <f t="shared" si="15"/>
        <v>18825.985908264727</v>
      </c>
      <c r="F120" s="103">
        <f t="shared" si="16"/>
        <v>846.18473814038987</v>
      </c>
      <c r="G120" s="103">
        <f t="shared" si="17"/>
        <v>79503.361599668569</v>
      </c>
      <c r="H120" s="103">
        <f t="shared" si="18"/>
        <v>70496.638400331431</v>
      </c>
    </row>
    <row r="121" spans="1:8" ht="14.55" x14ac:dyDescent="0.35">
      <c r="A121" s="101">
        <v>103</v>
      </c>
      <c r="B121" s="104">
        <f t="shared" si="12"/>
        <v>47332.625</v>
      </c>
      <c r="C121" s="103">
        <f t="shared" si="13"/>
        <v>964.01321086209146</v>
      </c>
      <c r="D121" s="103">
        <f t="shared" si="14"/>
        <v>116.43092983021864</v>
      </c>
      <c r="E121" s="103">
        <f t="shared" si="15"/>
        <v>18942.416838094945</v>
      </c>
      <c r="F121" s="103">
        <f t="shared" si="16"/>
        <v>847.58228103187275</v>
      </c>
      <c r="G121" s="103">
        <f t="shared" si="17"/>
        <v>80350.943880700448</v>
      </c>
      <c r="H121" s="103">
        <f t="shared" si="18"/>
        <v>69649.056119299552</v>
      </c>
    </row>
    <row r="122" spans="1:8" ht="14.55" x14ac:dyDescent="0.35">
      <c r="A122" s="101">
        <v>104</v>
      </c>
      <c r="B122" s="104">
        <f t="shared" si="12"/>
        <v>47363.0625</v>
      </c>
      <c r="C122" s="103">
        <f t="shared" si="13"/>
        <v>964.01321086209146</v>
      </c>
      <c r="D122" s="103">
        <f t="shared" si="14"/>
        <v>115.03107878302751</v>
      </c>
      <c r="E122" s="103">
        <f t="shared" si="15"/>
        <v>19057.447916877973</v>
      </c>
      <c r="F122" s="103">
        <f t="shared" si="16"/>
        <v>848.98213207906394</v>
      </c>
      <c r="G122" s="103">
        <f t="shared" si="17"/>
        <v>81199.926012779513</v>
      </c>
      <c r="H122" s="103">
        <f t="shared" si="18"/>
        <v>68800.073987220487</v>
      </c>
    </row>
    <row r="123" spans="1:8" ht="14.55" x14ac:dyDescent="0.35">
      <c r="A123" s="101">
        <v>105</v>
      </c>
      <c r="B123" s="104">
        <f t="shared" si="12"/>
        <v>47393.5</v>
      </c>
      <c r="C123" s="103">
        <f t="shared" si="13"/>
        <v>964.01321086209146</v>
      </c>
      <c r="D123" s="103">
        <f t="shared" si="14"/>
        <v>113.62891576802136</v>
      </c>
      <c r="E123" s="103">
        <f t="shared" si="15"/>
        <v>19171.076832645995</v>
      </c>
      <c r="F123" s="103">
        <f t="shared" si="16"/>
        <v>850.38429509407013</v>
      </c>
      <c r="G123" s="103">
        <f t="shared" si="17"/>
        <v>82050.310307873588</v>
      </c>
      <c r="H123" s="103">
        <f t="shared" si="18"/>
        <v>67949.689692126412</v>
      </c>
    </row>
    <row r="124" spans="1:8" ht="14.55" x14ac:dyDescent="0.35">
      <c r="A124" s="101">
        <v>106</v>
      </c>
      <c r="B124" s="104">
        <f t="shared" si="12"/>
        <v>47423.9375</v>
      </c>
      <c r="C124" s="103">
        <f t="shared" si="13"/>
        <v>964.01321086209146</v>
      </c>
      <c r="D124" s="103">
        <f t="shared" si="14"/>
        <v>112.22443696679737</v>
      </c>
      <c r="E124" s="103">
        <f t="shared" si="15"/>
        <v>19283.301269612792</v>
      </c>
      <c r="F124" s="103">
        <f t="shared" si="16"/>
        <v>851.78877389529407</v>
      </c>
      <c r="G124" s="103">
        <f t="shared" si="17"/>
        <v>82902.099081768887</v>
      </c>
      <c r="H124" s="103">
        <f t="shared" si="18"/>
        <v>67097.900918231113</v>
      </c>
    </row>
    <row r="125" spans="1:8" ht="14.55" x14ac:dyDescent="0.35">
      <c r="A125" s="101">
        <v>107</v>
      </c>
      <c r="B125" s="104">
        <f t="shared" si="12"/>
        <v>47454.375</v>
      </c>
      <c r="C125" s="103">
        <f t="shared" si="13"/>
        <v>964.01321086209146</v>
      </c>
      <c r="D125" s="103">
        <f t="shared" si="14"/>
        <v>110.81763855464634</v>
      </c>
      <c r="E125" s="103">
        <f t="shared" si="15"/>
        <v>19394.118908167438</v>
      </c>
      <c r="F125" s="103">
        <f t="shared" si="16"/>
        <v>853.1955723074451</v>
      </c>
      <c r="G125" s="103">
        <f t="shared" si="17"/>
        <v>83755.294654076337</v>
      </c>
      <c r="H125" s="103">
        <f t="shared" si="18"/>
        <v>66244.705345923663</v>
      </c>
    </row>
    <row r="126" spans="1:8" ht="14.55" x14ac:dyDescent="0.35">
      <c r="A126" s="101">
        <v>108</v>
      </c>
      <c r="B126" s="104">
        <f t="shared" si="12"/>
        <v>47484.8125</v>
      </c>
      <c r="C126" s="103">
        <f t="shared" si="13"/>
        <v>964.01321086209146</v>
      </c>
      <c r="D126" s="103">
        <f t="shared" si="14"/>
        <v>109.40851670054224</v>
      </c>
      <c r="E126" s="103">
        <f t="shared" si="15"/>
        <v>19503.527424867982</v>
      </c>
      <c r="F126" s="103">
        <f t="shared" si="16"/>
        <v>854.60469416154922</v>
      </c>
      <c r="G126" s="103">
        <f t="shared" si="17"/>
        <v>84609.899348237886</v>
      </c>
      <c r="H126" s="103">
        <f t="shared" si="18"/>
        <v>65390.100651762114</v>
      </c>
    </row>
    <row r="127" spans="1:8" ht="14.55" x14ac:dyDescent="0.35">
      <c r="A127" s="101">
        <v>109</v>
      </c>
      <c r="B127" s="104">
        <f t="shared" si="12"/>
        <v>47515.25</v>
      </c>
      <c r="C127" s="103">
        <f t="shared" si="13"/>
        <v>964.01321086209146</v>
      </c>
      <c r="D127" s="103">
        <f t="shared" si="14"/>
        <v>107.99706756713177</v>
      </c>
      <c r="E127" s="103">
        <f t="shared" si="15"/>
        <v>19611.524492435114</v>
      </c>
      <c r="F127" s="103">
        <f t="shared" si="16"/>
        <v>856.01614329495965</v>
      </c>
      <c r="G127" s="103">
        <f t="shared" si="17"/>
        <v>85465.91549153284</v>
      </c>
      <c r="H127" s="103">
        <f t="shared" si="18"/>
        <v>64534.08450846716</v>
      </c>
    </row>
    <row r="128" spans="1:8" ht="14.55" x14ac:dyDescent="0.35">
      <c r="A128" s="101">
        <v>110</v>
      </c>
      <c r="B128" s="104">
        <f t="shared" si="12"/>
        <v>47545.6875</v>
      </c>
      <c r="C128" s="103">
        <f t="shared" si="13"/>
        <v>964.01321086209146</v>
      </c>
      <c r="D128" s="103">
        <f t="shared" si="14"/>
        <v>106.58328731072396</v>
      </c>
      <c r="E128" s="103">
        <f t="shared" si="15"/>
        <v>19718.107779745838</v>
      </c>
      <c r="F128" s="103">
        <f t="shared" si="16"/>
        <v>857.42992355136744</v>
      </c>
      <c r="G128" s="103">
        <f t="shared" si="17"/>
        <v>86323.345415084201</v>
      </c>
      <c r="H128" s="103">
        <f t="shared" si="18"/>
        <v>63676.654584915799</v>
      </c>
    </row>
    <row r="129" spans="1:8" ht="14.55" x14ac:dyDescent="0.35">
      <c r="A129" s="101">
        <v>111</v>
      </c>
      <c r="B129" s="104">
        <f t="shared" si="12"/>
        <v>47576.125</v>
      </c>
      <c r="C129" s="103">
        <f t="shared" si="13"/>
        <v>964.01321086209146</v>
      </c>
      <c r="D129" s="103">
        <f t="shared" si="14"/>
        <v>105.16717208127965</v>
      </c>
      <c r="E129" s="103">
        <f t="shared" si="15"/>
        <v>19823.274951827119</v>
      </c>
      <c r="F129" s="103">
        <f t="shared" si="16"/>
        <v>858.8460387808118</v>
      </c>
      <c r="G129" s="103">
        <f t="shared" si="17"/>
        <v>87182.191453865016</v>
      </c>
      <c r="H129" s="103">
        <f t="shared" si="18"/>
        <v>62817.808546134984</v>
      </c>
    </row>
    <row r="130" spans="1:8" ht="14.55" x14ac:dyDescent="0.35">
      <c r="A130" s="101">
        <v>112</v>
      </c>
      <c r="B130" s="104">
        <f t="shared" si="12"/>
        <v>47606.5625</v>
      </c>
      <c r="C130" s="103">
        <f t="shared" si="13"/>
        <v>964.01321086209146</v>
      </c>
      <c r="D130" s="103">
        <f t="shared" si="14"/>
        <v>103.74871802240099</v>
      </c>
      <c r="E130" s="103">
        <f t="shared" si="15"/>
        <v>19927.023669849521</v>
      </c>
      <c r="F130" s="103">
        <f t="shared" si="16"/>
        <v>860.26449283969043</v>
      </c>
      <c r="G130" s="103">
        <f t="shared" si="17"/>
        <v>88042.455946704707</v>
      </c>
      <c r="H130" s="103">
        <f t="shared" si="18"/>
        <v>61957.544053295293</v>
      </c>
    </row>
    <row r="131" spans="1:8" ht="14.55" x14ac:dyDescent="0.35">
      <c r="A131" s="101">
        <v>113</v>
      </c>
      <c r="B131" s="104">
        <f t="shared" si="12"/>
        <v>47637</v>
      </c>
      <c r="C131" s="103">
        <f t="shared" si="13"/>
        <v>964.01321086209146</v>
      </c>
      <c r="D131" s="103">
        <f t="shared" si="14"/>
        <v>102.32792127132107</v>
      </c>
      <c r="E131" s="103">
        <f t="shared" si="15"/>
        <v>20029.351591120841</v>
      </c>
      <c r="F131" s="103">
        <f t="shared" si="16"/>
        <v>861.68528959077037</v>
      </c>
      <c r="G131" s="103">
        <f t="shared" si="17"/>
        <v>88904.141236295472</v>
      </c>
      <c r="H131" s="103">
        <f t="shared" si="18"/>
        <v>61095.858763704528</v>
      </c>
    </row>
    <row r="132" spans="1:8" ht="14.55" x14ac:dyDescent="0.35">
      <c r="A132" s="101">
        <v>114</v>
      </c>
      <c r="B132" s="104">
        <f t="shared" si="12"/>
        <v>47667.4375</v>
      </c>
      <c r="C132" s="103">
        <f t="shared" si="13"/>
        <v>964.01321086209146</v>
      </c>
      <c r="D132" s="103">
        <f t="shared" si="14"/>
        <v>100.90477795889326</v>
      </c>
      <c r="E132" s="103">
        <f t="shared" si="15"/>
        <v>20130.256369079736</v>
      </c>
      <c r="F132" s="103">
        <f t="shared" si="16"/>
        <v>863.10843290319815</v>
      </c>
      <c r="G132" s="103">
        <f t="shared" si="17"/>
        <v>89767.249669198674</v>
      </c>
      <c r="H132" s="103">
        <f t="shared" si="18"/>
        <v>60232.750330801326</v>
      </c>
    </row>
    <row r="133" spans="1:8" ht="14.55" x14ac:dyDescent="0.35">
      <c r="A133" s="101">
        <v>115</v>
      </c>
      <c r="B133" s="104">
        <f t="shared" si="12"/>
        <v>47697.875</v>
      </c>
      <c r="C133" s="103">
        <f t="shared" si="13"/>
        <v>964.01321086209146</v>
      </c>
      <c r="D133" s="103">
        <f t="shared" si="14"/>
        <v>99.479284209580669</v>
      </c>
      <c r="E133" s="103">
        <f t="shared" si="15"/>
        <v>20229.735653289317</v>
      </c>
      <c r="F133" s="103">
        <f t="shared" si="16"/>
        <v>864.53392665251079</v>
      </c>
      <c r="G133" s="103">
        <f t="shared" si="17"/>
        <v>90631.783595851186</v>
      </c>
      <c r="H133" s="103">
        <f t="shared" si="18"/>
        <v>59368.216404148814</v>
      </c>
    </row>
    <row r="134" spans="1:8" ht="14.55" x14ac:dyDescent="0.35">
      <c r="A134" s="101">
        <v>116</v>
      </c>
      <c r="B134" s="104">
        <f t="shared" si="12"/>
        <v>47728.3125</v>
      </c>
      <c r="C134" s="103">
        <f t="shared" si="13"/>
        <v>964.01321086209146</v>
      </c>
      <c r="D134" s="103">
        <f t="shared" si="14"/>
        <v>98.051436141445706</v>
      </c>
      <c r="E134" s="103">
        <f t="shared" si="15"/>
        <v>20327.787089430763</v>
      </c>
      <c r="F134" s="103">
        <f t="shared" si="16"/>
        <v>865.96177472064574</v>
      </c>
      <c r="G134" s="103">
        <f t="shared" si="17"/>
        <v>91497.745370571836</v>
      </c>
      <c r="H134" s="103">
        <f t="shared" si="18"/>
        <v>58502.254629428164</v>
      </c>
    </row>
    <row r="135" spans="1:8" ht="14.55" x14ac:dyDescent="0.35">
      <c r="A135" s="101">
        <v>117</v>
      </c>
      <c r="B135" s="104">
        <f t="shared" si="12"/>
        <v>47758.75</v>
      </c>
      <c r="C135" s="103">
        <f t="shared" si="13"/>
        <v>964.01321086209146</v>
      </c>
      <c r="D135" s="103">
        <f t="shared" si="14"/>
        <v>96.62122986613943</v>
      </c>
      <c r="E135" s="103">
        <f t="shared" si="15"/>
        <v>20424.408319296905</v>
      </c>
      <c r="F135" s="103">
        <f t="shared" si="16"/>
        <v>867.39198099595205</v>
      </c>
      <c r="G135" s="103">
        <f t="shared" si="17"/>
        <v>92365.137351567784</v>
      </c>
      <c r="H135" s="103">
        <f t="shared" si="18"/>
        <v>57634.862648432216</v>
      </c>
    </row>
    <row r="136" spans="1:8" ht="14.55" x14ac:dyDescent="0.35">
      <c r="A136" s="101">
        <v>118</v>
      </c>
      <c r="B136" s="104">
        <f t="shared" si="12"/>
        <v>47789.1875</v>
      </c>
      <c r="C136" s="103">
        <f t="shared" si="13"/>
        <v>964.01321086209146</v>
      </c>
      <c r="D136" s="103">
        <f t="shared" si="14"/>
        <v>95.188661488890972</v>
      </c>
      <c r="E136" s="103">
        <f t="shared" si="15"/>
        <v>20519.596980785795</v>
      </c>
      <c r="F136" s="103">
        <f t="shared" si="16"/>
        <v>868.82454937320051</v>
      </c>
      <c r="G136" s="103">
        <f t="shared" si="17"/>
        <v>93233.96190094098</v>
      </c>
      <c r="H136" s="103">
        <f t="shared" si="18"/>
        <v>56766.03809905902</v>
      </c>
    </row>
    <row r="137" spans="1:8" ht="14.55" x14ac:dyDescent="0.35">
      <c r="A137" s="101">
        <v>119</v>
      </c>
      <c r="B137" s="104">
        <f t="shared" si="12"/>
        <v>47819.625</v>
      </c>
      <c r="C137" s="103">
        <f t="shared" si="13"/>
        <v>964.01321086209146</v>
      </c>
      <c r="D137" s="103">
        <f t="shared" si="14"/>
        <v>93.753727108496946</v>
      </c>
      <c r="E137" s="103">
        <f t="shared" si="15"/>
        <v>20613.350707894293</v>
      </c>
      <c r="F137" s="103">
        <f t="shared" si="16"/>
        <v>870.25948375359451</v>
      </c>
      <c r="G137" s="103">
        <f t="shared" si="17"/>
        <v>94104.221384694582</v>
      </c>
      <c r="H137" s="103">
        <f t="shared" si="18"/>
        <v>55895.778615305418</v>
      </c>
    </row>
    <row r="138" spans="1:8" ht="14.55" x14ac:dyDescent="0.35">
      <c r="A138" s="105">
        <v>120</v>
      </c>
      <c r="B138" s="106">
        <f t="shared" si="12"/>
        <v>47850.0625</v>
      </c>
      <c r="C138" s="107">
        <f t="shared" si="13"/>
        <v>964.01321086209146</v>
      </c>
      <c r="D138" s="107">
        <f t="shared" si="14"/>
        <v>92.316422817310752</v>
      </c>
      <c r="E138" s="107">
        <f t="shared" si="15"/>
        <v>20705.667130711605</v>
      </c>
      <c r="F138" s="107">
        <f t="shared" si="16"/>
        <v>871.69678804478076</v>
      </c>
      <c r="G138" s="107">
        <f t="shared" si="17"/>
        <v>94975.918172739359</v>
      </c>
      <c r="H138" s="107">
        <f t="shared" si="18"/>
        <v>55024.081827260641</v>
      </c>
    </row>
    <row r="139" spans="1:8" ht="14.55" x14ac:dyDescent="0.35">
      <c r="A139" s="105">
        <v>121</v>
      </c>
      <c r="B139" s="106">
        <f t="shared" si="12"/>
        <v>47880.5</v>
      </c>
      <c r="C139" s="107">
        <f t="shared" si="13"/>
        <v>964.01321086209146</v>
      </c>
      <c r="D139" s="107">
        <f t="shared" si="14"/>
        <v>90.87674470123207</v>
      </c>
      <c r="E139" s="107">
        <f t="shared" si="15"/>
        <v>20796.543875412837</v>
      </c>
      <c r="F139" s="107">
        <f t="shared" si="16"/>
        <v>873.13646616085941</v>
      </c>
      <c r="G139" s="107">
        <f t="shared" si="17"/>
        <v>95849.054638900212</v>
      </c>
      <c r="H139" s="107">
        <f t="shared" si="18"/>
        <v>54150.945361099788</v>
      </c>
    </row>
    <row r="140" spans="1:8" ht="14.55" x14ac:dyDescent="0.35">
      <c r="A140" s="105">
        <v>122</v>
      </c>
      <c r="B140" s="106">
        <f t="shared" si="12"/>
        <v>47910.9375</v>
      </c>
      <c r="C140" s="107">
        <f t="shared" si="13"/>
        <v>964.01321086209146</v>
      </c>
      <c r="D140" s="107">
        <f t="shared" si="14"/>
        <v>89.434688839696108</v>
      </c>
      <c r="E140" s="107">
        <f t="shared" si="15"/>
        <v>20885.978564252535</v>
      </c>
      <c r="F140" s="107">
        <f t="shared" si="16"/>
        <v>874.5785220223953</v>
      </c>
      <c r="G140" s="107">
        <f t="shared" si="17"/>
        <v>96723.633160922604</v>
      </c>
      <c r="H140" s="107">
        <f t="shared" si="18"/>
        <v>53276.366839077396</v>
      </c>
    </row>
    <row r="141" spans="1:8" ht="14.55" x14ac:dyDescent="0.35">
      <c r="A141" s="105">
        <v>123</v>
      </c>
      <c r="B141" s="106">
        <f t="shared" si="12"/>
        <v>47941.375</v>
      </c>
      <c r="C141" s="107">
        <f t="shared" si="13"/>
        <v>964.01321086209146</v>
      </c>
      <c r="D141" s="107">
        <f t="shared" si="14"/>
        <v>87.990251305662909</v>
      </c>
      <c r="E141" s="107">
        <f t="shared" si="15"/>
        <v>20973.968815558197</v>
      </c>
      <c r="F141" s="107">
        <f t="shared" si="16"/>
        <v>876.02295955642853</v>
      </c>
      <c r="G141" s="107">
        <f t="shared" si="17"/>
        <v>97599.656120479034</v>
      </c>
      <c r="H141" s="107">
        <f t="shared" si="18"/>
        <v>52400.343879520966</v>
      </c>
    </row>
    <row r="142" spans="1:8" ht="14.55" x14ac:dyDescent="0.35">
      <c r="A142" s="105">
        <v>124</v>
      </c>
      <c r="B142" s="106">
        <f t="shared" si="12"/>
        <v>47971.8125</v>
      </c>
      <c r="C142" s="107">
        <f t="shared" si="13"/>
        <v>964.01321086209146</v>
      </c>
      <c r="D142" s="107">
        <f t="shared" si="14"/>
        <v>86.543428165606684</v>
      </c>
      <c r="E142" s="107">
        <f t="shared" si="15"/>
        <v>21060.512243723802</v>
      </c>
      <c r="F142" s="107">
        <f t="shared" si="16"/>
        <v>877.4697826964848</v>
      </c>
      <c r="G142" s="107">
        <f t="shared" si="17"/>
        <v>98477.125903175518</v>
      </c>
      <c r="H142" s="107">
        <f t="shared" si="18"/>
        <v>51522.874096824482</v>
      </c>
    </row>
    <row r="143" spans="1:8" ht="14.55" x14ac:dyDescent="0.35">
      <c r="A143" s="105">
        <v>125</v>
      </c>
      <c r="B143" s="106">
        <f t="shared" si="12"/>
        <v>48002.25</v>
      </c>
      <c r="C143" s="107">
        <f t="shared" si="13"/>
        <v>964.01321086209146</v>
      </c>
      <c r="D143" s="107">
        <f t="shared" si="14"/>
        <v>85.094215479505166</v>
      </c>
      <c r="E143" s="107">
        <f t="shared" si="15"/>
        <v>21145.606459203307</v>
      </c>
      <c r="F143" s="107">
        <f t="shared" si="16"/>
        <v>878.91899538258633</v>
      </c>
      <c r="G143" s="107">
        <f t="shared" si="17"/>
        <v>99356.044898558102</v>
      </c>
      <c r="H143" s="107">
        <f t="shared" si="18"/>
        <v>50643.955101441898</v>
      </c>
    </row>
    <row r="144" spans="1:8" ht="14.55" x14ac:dyDescent="0.35">
      <c r="A144" s="105">
        <v>126</v>
      </c>
      <c r="B144" s="106">
        <f t="shared" si="12"/>
        <v>48032.6875</v>
      </c>
      <c r="C144" s="107">
        <f t="shared" si="13"/>
        <v>964.01321086209146</v>
      </c>
      <c r="D144" s="107">
        <f t="shared" si="14"/>
        <v>83.642609300828781</v>
      </c>
      <c r="E144" s="107">
        <f t="shared" si="15"/>
        <v>21229.249068504138</v>
      </c>
      <c r="F144" s="107">
        <f t="shared" si="16"/>
        <v>880.37060156126267</v>
      </c>
      <c r="G144" s="107">
        <f t="shared" si="17"/>
        <v>100236.41550011937</v>
      </c>
      <c r="H144" s="107">
        <f t="shared" si="18"/>
        <v>49763.584499880628</v>
      </c>
    </row>
    <row r="145" spans="1:8" ht="14.55" x14ac:dyDescent="0.35">
      <c r="A145" s="105">
        <v>127</v>
      </c>
      <c r="B145" s="106">
        <f t="shared" si="12"/>
        <v>48063.125</v>
      </c>
      <c r="C145" s="107">
        <f t="shared" si="13"/>
        <v>964.01321086209146</v>
      </c>
      <c r="D145" s="107">
        <f t="shared" si="14"/>
        <v>82.188605676529932</v>
      </c>
      <c r="E145" s="107">
        <f t="shared" si="15"/>
        <v>21311.437674180666</v>
      </c>
      <c r="F145" s="107">
        <f t="shared" si="16"/>
        <v>881.8246051855615</v>
      </c>
      <c r="G145" s="107">
        <f t="shared" si="17"/>
        <v>101118.24010530494</v>
      </c>
      <c r="H145" s="107">
        <f t="shared" si="18"/>
        <v>48881.75989469506</v>
      </c>
    </row>
    <row r="146" spans="1:8" ht="14.55" x14ac:dyDescent="0.35">
      <c r="A146" s="105">
        <v>128</v>
      </c>
      <c r="B146" s="106">
        <f t="shared" si="12"/>
        <v>48093.5625</v>
      </c>
      <c r="C146" s="107">
        <f t="shared" si="13"/>
        <v>964.01321086209146</v>
      </c>
      <c r="D146" s="107">
        <f t="shared" si="14"/>
        <v>80.732200647032272</v>
      </c>
      <c r="E146" s="107">
        <f t="shared" si="15"/>
        <v>21392.169874827698</v>
      </c>
      <c r="F146" s="107">
        <f t="shared" si="16"/>
        <v>883.28101021505915</v>
      </c>
      <c r="G146" s="107">
        <f t="shared" si="17"/>
        <v>102001.52111551999</v>
      </c>
      <c r="H146" s="107">
        <f t="shared" si="18"/>
        <v>47998.478884480006</v>
      </c>
    </row>
    <row r="147" spans="1:8" ht="14.55" x14ac:dyDescent="0.35">
      <c r="A147" s="105">
        <v>129</v>
      </c>
      <c r="B147" s="106">
        <f t="shared" si="12"/>
        <v>48124</v>
      </c>
      <c r="C147" s="107">
        <f t="shared" si="13"/>
        <v>964.01321086209146</v>
      </c>
      <c r="D147" s="107">
        <f t="shared" si="14"/>
        <v>79.273390246219876</v>
      </c>
      <c r="E147" s="107">
        <f t="shared" si="15"/>
        <v>21471.443265073918</v>
      </c>
      <c r="F147" s="107">
        <f t="shared" si="16"/>
        <v>884.73982061587162</v>
      </c>
      <c r="G147" s="107">
        <f t="shared" si="17"/>
        <v>102886.26093613586</v>
      </c>
      <c r="H147" s="107">
        <f t="shared" si="18"/>
        <v>47113.739063864137</v>
      </c>
    </row>
    <row r="148" spans="1:8" ht="14.55" x14ac:dyDescent="0.35">
      <c r="A148" s="105">
        <v>130</v>
      </c>
      <c r="B148" s="106">
        <f t="shared" ref="B148:B198" si="19">IF(H147&lt;0.5,"",B147+(30.4375)*G$14)</f>
        <v>48154.4375</v>
      </c>
      <c r="C148" s="107">
        <f t="shared" ref="C148:C198" si="20">IF(H147&lt;0.5,0,C147)</f>
        <v>964.01321086209146</v>
      </c>
      <c r="D148" s="107">
        <f t="shared" ref="D148:D198" si="21">IF(H147&lt;0.5,0,H147*C$12)</f>
        <v>77.812170501426451</v>
      </c>
      <c r="E148" s="107">
        <f t="shared" ref="E148:E198" si="22">IF(H147&lt;0.5,0,E147+D148)</f>
        <v>21549.255435575345</v>
      </c>
      <c r="F148" s="107">
        <f t="shared" ref="F148:F198" si="23">IF(H147&lt;0.5,0,C148-D148)</f>
        <v>886.20104036066505</v>
      </c>
      <c r="G148" s="107">
        <f t="shared" ref="G148:G198" si="24">IF(H147&lt;0.5,0,F148+G147)</f>
        <v>103772.46197649653</v>
      </c>
      <c r="H148" s="107">
        <f t="shared" ref="H148:H198" si="25">IF(H147&lt;0.5,0,G$10-G148)</f>
        <v>46227.538023503468</v>
      </c>
    </row>
    <row r="149" spans="1:8" ht="14.55" x14ac:dyDescent="0.35">
      <c r="A149" s="105">
        <v>131</v>
      </c>
      <c r="B149" s="106">
        <f t="shared" si="19"/>
        <v>48184.875</v>
      </c>
      <c r="C149" s="107">
        <f t="shared" si="20"/>
        <v>964.01321086209146</v>
      </c>
      <c r="D149" s="107">
        <f t="shared" si="21"/>
        <v>76.348537433424525</v>
      </c>
      <c r="E149" s="107">
        <f t="shared" si="22"/>
        <v>21625.603973008769</v>
      </c>
      <c r="F149" s="107">
        <f t="shared" si="23"/>
        <v>887.6646734286669</v>
      </c>
      <c r="G149" s="107">
        <f t="shared" si="24"/>
        <v>104660.12664992519</v>
      </c>
      <c r="H149" s="107">
        <f t="shared" si="25"/>
        <v>45339.873350074806</v>
      </c>
    </row>
    <row r="150" spans="1:8" ht="14.55" x14ac:dyDescent="0.35">
      <c r="A150" s="105">
        <v>132</v>
      </c>
      <c r="B150" s="106">
        <f t="shared" si="19"/>
        <v>48215.3125</v>
      </c>
      <c r="C150" s="107">
        <f t="shared" si="20"/>
        <v>964.01321086209146</v>
      </c>
      <c r="D150" s="107">
        <f t="shared" si="21"/>
        <v>74.882487056414618</v>
      </c>
      <c r="E150" s="107">
        <f t="shared" si="22"/>
        <v>21700.486460065182</v>
      </c>
      <c r="F150" s="107">
        <f t="shared" si="23"/>
        <v>889.13072380567678</v>
      </c>
      <c r="G150" s="107">
        <f t="shared" si="24"/>
        <v>105549.25737373087</v>
      </c>
      <c r="H150" s="107">
        <f t="shared" si="25"/>
        <v>44450.74262626913</v>
      </c>
    </row>
    <row r="151" spans="1:8" ht="14.55" x14ac:dyDescent="0.35">
      <c r="A151" s="105">
        <v>133</v>
      </c>
      <c r="B151" s="106">
        <f t="shared" si="19"/>
        <v>48245.75</v>
      </c>
      <c r="C151" s="107">
        <f t="shared" si="20"/>
        <v>964.01321086209146</v>
      </c>
      <c r="D151" s="107">
        <f t="shared" si="21"/>
        <v>73.414015378014369</v>
      </c>
      <c r="E151" s="107">
        <f t="shared" si="22"/>
        <v>21773.900475443195</v>
      </c>
      <c r="F151" s="107">
        <f t="shared" si="23"/>
        <v>890.59919548407709</v>
      </c>
      <c r="G151" s="107">
        <f t="shared" si="24"/>
        <v>106439.85656921494</v>
      </c>
      <c r="H151" s="107">
        <f t="shared" si="25"/>
        <v>43560.143430785058</v>
      </c>
    </row>
    <row r="152" spans="1:8" ht="14.55" x14ac:dyDescent="0.35">
      <c r="A152" s="105">
        <v>134</v>
      </c>
      <c r="B152" s="106">
        <f t="shared" si="19"/>
        <v>48276.1875</v>
      </c>
      <c r="C152" s="107">
        <f t="shared" si="20"/>
        <v>964.01321086209146</v>
      </c>
      <c r="D152" s="107">
        <f t="shared" si="21"/>
        <v>71.94311839924768</v>
      </c>
      <c r="E152" s="107">
        <f t="shared" si="22"/>
        <v>21845.843593842445</v>
      </c>
      <c r="F152" s="107">
        <f t="shared" si="23"/>
        <v>892.07009246284383</v>
      </c>
      <c r="G152" s="107">
        <f t="shared" si="24"/>
        <v>107331.92666167779</v>
      </c>
      <c r="H152" s="107">
        <f t="shared" si="25"/>
        <v>42668.07333832221</v>
      </c>
    </row>
    <row r="153" spans="1:8" ht="14.55" x14ac:dyDescent="0.35">
      <c r="A153" s="105">
        <v>135</v>
      </c>
      <c r="B153" s="106">
        <f t="shared" si="19"/>
        <v>48306.625</v>
      </c>
      <c r="C153" s="107">
        <f t="shared" si="20"/>
        <v>964.01321086209146</v>
      </c>
      <c r="D153" s="107">
        <f t="shared" si="21"/>
        <v>70.469792114533803</v>
      </c>
      <c r="E153" s="107">
        <f t="shared" si="22"/>
        <v>21916.313385956979</v>
      </c>
      <c r="F153" s="107">
        <f t="shared" si="23"/>
        <v>893.54341874755767</v>
      </c>
      <c r="G153" s="107">
        <f t="shared" si="24"/>
        <v>108225.47008042535</v>
      </c>
      <c r="H153" s="107">
        <f t="shared" si="25"/>
        <v>41774.529919574648</v>
      </c>
    </row>
    <row r="154" spans="1:8" ht="14.55" x14ac:dyDescent="0.35">
      <c r="A154" s="105">
        <v>136</v>
      </c>
      <c r="B154" s="106">
        <f t="shared" si="19"/>
        <v>48337.0625</v>
      </c>
      <c r="C154" s="107">
        <f t="shared" si="20"/>
        <v>964.01321086209146</v>
      </c>
      <c r="D154" s="107">
        <f t="shared" si="21"/>
        <v>68.994032511676451</v>
      </c>
      <c r="E154" s="107">
        <f t="shared" si="22"/>
        <v>21985.307418468656</v>
      </c>
      <c r="F154" s="107">
        <f t="shared" si="23"/>
        <v>895.01917835041502</v>
      </c>
      <c r="G154" s="107">
        <f t="shared" si="24"/>
        <v>109120.48925877576</v>
      </c>
      <c r="H154" s="107">
        <f t="shared" si="25"/>
        <v>40879.510741224236</v>
      </c>
    </row>
    <row r="155" spans="1:8" ht="14.55" x14ac:dyDescent="0.35">
      <c r="A155" s="105">
        <v>137</v>
      </c>
      <c r="B155" s="106">
        <f t="shared" si="19"/>
        <v>48367.5</v>
      </c>
      <c r="C155" s="107">
        <f t="shared" si="20"/>
        <v>964.01321086209146</v>
      </c>
      <c r="D155" s="107">
        <f t="shared" si="21"/>
        <v>67.515835571852904</v>
      </c>
      <c r="E155" s="107">
        <f t="shared" si="22"/>
        <v>22052.823254040508</v>
      </c>
      <c r="F155" s="107">
        <f t="shared" si="23"/>
        <v>896.49737529023855</v>
      </c>
      <c r="G155" s="107">
        <f t="shared" si="24"/>
        <v>110016.98663406601</v>
      </c>
      <c r="H155" s="107">
        <f t="shared" si="25"/>
        <v>39983.013365933992</v>
      </c>
    </row>
    <row r="156" spans="1:8" ht="14.55" x14ac:dyDescent="0.35">
      <c r="A156" s="105">
        <v>138</v>
      </c>
      <c r="B156" s="106">
        <f t="shared" si="19"/>
        <v>48397.9375</v>
      </c>
      <c r="C156" s="107">
        <f t="shared" si="20"/>
        <v>964.01321086209146</v>
      </c>
      <c r="D156" s="107">
        <f t="shared" si="21"/>
        <v>66.035197269602989</v>
      </c>
      <c r="E156" s="107">
        <f t="shared" si="22"/>
        <v>22118.858451310112</v>
      </c>
      <c r="F156" s="107">
        <f t="shared" si="23"/>
        <v>897.97801359248842</v>
      </c>
      <c r="G156" s="107">
        <f t="shared" si="24"/>
        <v>110914.96464765849</v>
      </c>
      <c r="H156" s="107">
        <f t="shared" si="25"/>
        <v>39085.035352341511</v>
      </c>
    </row>
    <row r="157" spans="1:8" ht="14.55" x14ac:dyDescent="0.35">
      <c r="A157" s="105">
        <v>139</v>
      </c>
      <c r="B157" s="106">
        <f t="shared" si="19"/>
        <v>48428.375</v>
      </c>
      <c r="C157" s="107">
        <f t="shared" si="20"/>
        <v>964.01321086209146</v>
      </c>
      <c r="D157" s="107">
        <f t="shared" si="21"/>
        <v>64.552113572818172</v>
      </c>
      <c r="E157" s="107">
        <f t="shared" si="22"/>
        <v>22183.410564882932</v>
      </c>
      <c r="F157" s="107">
        <f t="shared" si="23"/>
        <v>899.46109728927331</v>
      </c>
      <c r="G157" s="107">
        <f t="shared" si="24"/>
        <v>111814.42574494776</v>
      </c>
      <c r="H157" s="107">
        <f t="shared" si="25"/>
        <v>38185.574255052241</v>
      </c>
    </row>
    <row r="158" spans="1:8" ht="14.55" x14ac:dyDescent="0.35">
      <c r="A158" s="105">
        <v>140</v>
      </c>
      <c r="B158" s="106">
        <f t="shared" si="19"/>
        <v>48458.8125</v>
      </c>
      <c r="C158" s="107">
        <f t="shared" si="20"/>
        <v>964.01321086209146</v>
      </c>
      <c r="D158" s="107">
        <f t="shared" si="21"/>
        <v>63.066580442730576</v>
      </c>
      <c r="E158" s="107">
        <f t="shared" si="22"/>
        <v>22246.477145325662</v>
      </c>
      <c r="F158" s="107">
        <f t="shared" si="23"/>
        <v>900.94663041936087</v>
      </c>
      <c r="G158" s="107">
        <f t="shared" si="24"/>
        <v>112715.37237536712</v>
      </c>
      <c r="H158" s="107">
        <f t="shared" si="25"/>
        <v>37284.627624632878</v>
      </c>
    </row>
    <row r="159" spans="1:8" ht="14.55" x14ac:dyDescent="0.35">
      <c r="A159" s="105">
        <v>141</v>
      </c>
      <c r="B159" s="106">
        <f t="shared" si="19"/>
        <v>48489.25</v>
      </c>
      <c r="C159" s="107">
        <f t="shared" si="20"/>
        <v>964.01321086209146</v>
      </c>
      <c r="D159" s="107">
        <f t="shared" si="21"/>
        <v>61.57859383390192</v>
      </c>
      <c r="E159" s="107">
        <f t="shared" si="22"/>
        <v>22308.055739159565</v>
      </c>
      <c r="F159" s="107">
        <f t="shared" si="23"/>
        <v>902.43461702818956</v>
      </c>
      <c r="G159" s="107">
        <f t="shared" si="24"/>
        <v>113617.80699239532</v>
      </c>
      <c r="H159" s="107">
        <f t="shared" si="25"/>
        <v>36382.193007604685</v>
      </c>
    </row>
    <row r="160" spans="1:8" ht="14.55" x14ac:dyDescent="0.35">
      <c r="A160" s="105">
        <v>142</v>
      </c>
      <c r="B160" s="106">
        <f t="shared" si="19"/>
        <v>48519.6875</v>
      </c>
      <c r="C160" s="107">
        <f t="shared" si="20"/>
        <v>964.01321086209146</v>
      </c>
      <c r="D160" s="107">
        <f t="shared" si="21"/>
        <v>60.088149694212618</v>
      </c>
      <c r="E160" s="107">
        <f t="shared" si="22"/>
        <v>22368.143888853778</v>
      </c>
      <c r="F160" s="107">
        <f t="shared" si="23"/>
        <v>903.92506116787888</v>
      </c>
      <c r="G160" s="107">
        <f t="shared" si="24"/>
        <v>114521.73205356319</v>
      </c>
      <c r="H160" s="107">
        <f t="shared" si="25"/>
        <v>35478.267946436812</v>
      </c>
    </row>
    <row r="161" spans="1:8" ht="14.55" x14ac:dyDescent="0.35">
      <c r="A161" s="105">
        <v>143</v>
      </c>
      <c r="B161" s="106">
        <f t="shared" si="19"/>
        <v>48550.125</v>
      </c>
      <c r="C161" s="107">
        <f t="shared" si="20"/>
        <v>964.01321086209146</v>
      </c>
      <c r="D161" s="107">
        <f t="shared" si="21"/>
        <v>58.595243964850667</v>
      </c>
      <c r="E161" s="107">
        <f t="shared" si="22"/>
        <v>22426.739132818628</v>
      </c>
      <c r="F161" s="107">
        <f t="shared" si="23"/>
        <v>905.41796689724083</v>
      </c>
      <c r="G161" s="107">
        <f t="shared" si="24"/>
        <v>115427.15002046042</v>
      </c>
      <c r="H161" s="107">
        <f t="shared" si="25"/>
        <v>34572.849979539576</v>
      </c>
    </row>
    <row r="162" spans="1:8" ht="14.55" x14ac:dyDescent="0.35">
      <c r="A162" s="105">
        <v>144</v>
      </c>
      <c r="B162" s="106">
        <f t="shared" si="19"/>
        <v>48580.5625</v>
      </c>
      <c r="C162" s="107">
        <f t="shared" si="20"/>
        <v>964.01321086209146</v>
      </c>
      <c r="D162" s="107">
        <f t="shared" si="21"/>
        <v>57.09987258030057</v>
      </c>
      <c r="E162" s="107">
        <f t="shared" si="22"/>
        <v>22483.839005398928</v>
      </c>
      <c r="F162" s="107">
        <f t="shared" si="23"/>
        <v>906.91333828179086</v>
      </c>
      <c r="G162" s="107">
        <f t="shared" si="24"/>
        <v>116334.06335874222</v>
      </c>
      <c r="H162" s="107">
        <f t="shared" si="25"/>
        <v>33665.93664125778</v>
      </c>
    </row>
    <row r="163" spans="1:8" ht="14.55" x14ac:dyDescent="0.35">
      <c r="A163" s="105">
        <v>145</v>
      </c>
      <c r="B163" s="106">
        <f t="shared" si="19"/>
        <v>48611</v>
      </c>
      <c r="C163" s="107">
        <f t="shared" si="20"/>
        <v>964.01321086209146</v>
      </c>
      <c r="D163" s="107">
        <f t="shared" si="21"/>
        <v>55.602031468332299</v>
      </c>
      <c r="E163" s="107">
        <f t="shared" si="22"/>
        <v>22539.441036867262</v>
      </c>
      <c r="F163" s="107">
        <f t="shared" si="23"/>
        <v>908.4111793937592</v>
      </c>
      <c r="G163" s="107">
        <f t="shared" si="24"/>
        <v>117242.47453813598</v>
      </c>
      <c r="H163" s="107">
        <f t="shared" si="25"/>
        <v>32757.525461864017</v>
      </c>
    </row>
    <row r="164" spans="1:8" ht="14.55" x14ac:dyDescent="0.35">
      <c r="A164" s="105">
        <v>146</v>
      </c>
      <c r="B164" s="106">
        <f t="shared" si="19"/>
        <v>48641.4375</v>
      </c>
      <c r="C164" s="107">
        <f t="shared" si="20"/>
        <v>964.01321086209146</v>
      </c>
      <c r="D164" s="107">
        <f t="shared" si="21"/>
        <v>54.101716549990265</v>
      </c>
      <c r="E164" s="107">
        <f t="shared" si="22"/>
        <v>22593.542753417252</v>
      </c>
      <c r="F164" s="107">
        <f t="shared" si="23"/>
        <v>909.91149431210124</v>
      </c>
      <c r="G164" s="107">
        <f t="shared" si="24"/>
        <v>118152.38603244808</v>
      </c>
      <c r="H164" s="107">
        <f t="shared" si="25"/>
        <v>31847.613967551923</v>
      </c>
    </row>
    <row r="165" spans="1:8" ht="14.55" x14ac:dyDescent="0.35">
      <c r="A165" s="105">
        <v>147</v>
      </c>
      <c r="B165" s="106">
        <f t="shared" si="19"/>
        <v>48671.875</v>
      </c>
      <c r="C165" s="107">
        <f t="shared" si="20"/>
        <v>964.01321086209146</v>
      </c>
      <c r="D165" s="107">
        <f t="shared" si="21"/>
        <v>52.598923739582119</v>
      </c>
      <c r="E165" s="107">
        <f t="shared" si="22"/>
        <v>22646.141677156833</v>
      </c>
      <c r="F165" s="107">
        <f t="shared" si="23"/>
        <v>911.41428712250934</v>
      </c>
      <c r="G165" s="107">
        <f t="shared" si="24"/>
        <v>119063.80031957058</v>
      </c>
      <c r="H165" s="107">
        <f t="shared" si="25"/>
        <v>30936.199680429418</v>
      </c>
    </row>
    <row r="166" spans="1:8" ht="14.55" x14ac:dyDescent="0.35">
      <c r="A166" s="105">
        <v>148</v>
      </c>
      <c r="B166" s="106">
        <f t="shared" si="19"/>
        <v>48702.3125</v>
      </c>
      <c r="C166" s="107">
        <f t="shared" si="20"/>
        <v>964.01321086209146</v>
      </c>
      <c r="D166" s="107">
        <f t="shared" si="21"/>
        <v>51.093648944667642</v>
      </c>
      <c r="E166" s="107">
        <f t="shared" si="22"/>
        <v>22697.235326101501</v>
      </c>
      <c r="F166" s="107">
        <f t="shared" si="23"/>
        <v>912.91956191742383</v>
      </c>
      <c r="G166" s="107">
        <f t="shared" si="24"/>
        <v>119976.71988148801</v>
      </c>
      <c r="H166" s="107">
        <f t="shared" si="25"/>
        <v>30023.28011851199</v>
      </c>
    </row>
    <row r="167" spans="1:8" ht="14.55" x14ac:dyDescent="0.35">
      <c r="A167" s="105">
        <v>149</v>
      </c>
      <c r="B167" s="106">
        <f t="shared" si="19"/>
        <v>48732.75</v>
      </c>
      <c r="C167" s="107">
        <f t="shared" si="20"/>
        <v>964.01321086209146</v>
      </c>
      <c r="D167" s="107">
        <f t="shared" si="21"/>
        <v>49.585888066047616</v>
      </c>
      <c r="E167" s="107">
        <f t="shared" si="22"/>
        <v>22746.82121416755</v>
      </c>
      <c r="F167" s="107">
        <f t="shared" si="23"/>
        <v>914.42732279604388</v>
      </c>
      <c r="G167" s="107">
        <f t="shared" si="24"/>
        <v>120891.14720428406</v>
      </c>
      <c r="H167" s="107">
        <f t="shared" si="25"/>
        <v>29108.852795715939</v>
      </c>
    </row>
    <row r="168" spans="1:8" ht="14.55" x14ac:dyDescent="0.35">
      <c r="A168" s="105">
        <v>150</v>
      </c>
      <c r="B168" s="106">
        <f t="shared" si="19"/>
        <v>48763.1875</v>
      </c>
      <c r="C168" s="107">
        <f t="shared" si="20"/>
        <v>964.01321086209146</v>
      </c>
      <c r="D168" s="107">
        <f t="shared" si="21"/>
        <v>48.075636997752689</v>
      </c>
      <c r="E168" s="107">
        <f t="shared" si="22"/>
        <v>22794.896851165304</v>
      </c>
      <c r="F168" s="107">
        <f t="shared" si="23"/>
        <v>915.93757386433879</v>
      </c>
      <c r="G168" s="107">
        <f t="shared" si="24"/>
        <v>121807.0847781484</v>
      </c>
      <c r="H168" s="107">
        <f t="shared" si="25"/>
        <v>28192.915221851596</v>
      </c>
    </row>
    <row r="169" spans="1:8" ht="14.55" x14ac:dyDescent="0.35">
      <c r="A169" s="105">
        <v>151</v>
      </c>
      <c r="B169" s="106">
        <f t="shared" si="19"/>
        <v>48793.625</v>
      </c>
      <c r="C169" s="107">
        <f t="shared" si="20"/>
        <v>964.01321086209146</v>
      </c>
      <c r="D169" s="107">
        <f t="shared" si="21"/>
        <v>46.562891627032165</v>
      </c>
      <c r="E169" s="107">
        <f t="shared" si="22"/>
        <v>22841.459742792336</v>
      </c>
      <c r="F169" s="107">
        <f t="shared" si="23"/>
        <v>917.45031923505928</v>
      </c>
      <c r="G169" s="107">
        <f t="shared" si="24"/>
        <v>122724.53509738346</v>
      </c>
      <c r="H169" s="107">
        <f t="shared" si="25"/>
        <v>27275.464902616543</v>
      </c>
    </row>
    <row r="170" spans="1:8" ht="14.55" x14ac:dyDescent="0.35">
      <c r="A170" s="105">
        <v>152</v>
      </c>
      <c r="B170" s="106">
        <f t="shared" si="19"/>
        <v>48824.0625</v>
      </c>
      <c r="C170" s="107">
        <f t="shared" si="20"/>
        <v>964.01321086209146</v>
      </c>
      <c r="D170" s="107">
        <f t="shared" si="21"/>
        <v>45.047647834342811</v>
      </c>
      <c r="E170" s="107">
        <f t="shared" si="22"/>
        <v>22886.507390626681</v>
      </c>
      <c r="F170" s="107">
        <f t="shared" si="23"/>
        <v>918.96556302774866</v>
      </c>
      <c r="G170" s="107">
        <f t="shared" si="24"/>
        <v>123643.50066041121</v>
      </c>
      <c r="H170" s="107">
        <f t="shared" si="25"/>
        <v>26356.499339588787</v>
      </c>
    </row>
    <row r="171" spans="1:8" ht="14.55" x14ac:dyDescent="0.35">
      <c r="A171" s="105">
        <v>153</v>
      </c>
      <c r="B171" s="106">
        <f t="shared" si="19"/>
        <v>48854.5</v>
      </c>
      <c r="C171" s="107">
        <f t="shared" si="20"/>
        <v>964.01321086209146</v>
      </c>
      <c r="D171" s="107">
        <f t="shared" si="21"/>
        <v>43.529901493337576</v>
      </c>
      <c r="E171" s="107">
        <f t="shared" si="22"/>
        <v>22930.037292120018</v>
      </c>
      <c r="F171" s="107">
        <f t="shared" si="23"/>
        <v>920.48330936875391</v>
      </c>
      <c r="G171" s="107">
        <f t="shared" si="24"/>
        <v>124563.98396977996</v>
      </c>
      <c r="H171" s="107">
        <f t="shared" si="25"/>
        <v>25436.016030220038</v>
      </c>
    </row>
    <row r="172" spans="1:8" ht="14.55" x14ac:dyDescent="0.35">
      <c r="A172" s="105">
        <v>154</v>
      </c>
      <c r="B172" s="106">
        <f t="shared" si="19"/>
        <v>48884.9375</v>
      </c>
      <c r="C172" s="107">
        <f t="shared" si="20"/>
        <v>964.01321086209146</v>
      </c>
      <c r="D172" s="107">
        <f t="shared" si="21"/>
        <v>42.009648470854501</v>
      </c>
      <c r="E172" s="107">
        <f t="shared" si="22"/>
        <v>22972.046940590873</v>
      </c>
      <c r="F172" s="107">
        <f t="shared" si="23"/>
        <v>922.00356239123698</v>
      </c>
      <c r="G172" s="107">
        <f t="shared" si="24"/>
        <v>125485.9875321712</v>
      </c>
      <c r="H172" s="107">
        <f t="shared" si="25"/>
        <v>24514.012467828798</v>
      </c>
    </row>
    <row r="173" spans="1:8" ht="14.55" x14ac:dyDescent="0.35">
      <c r="A173" s="105">
        <v>155</v>
      </c>
      <c r="B173" s="106">
        <f t="shared" si="19"/>
        <v>48915.375</v>
      </c>
      <c r="C173" s="107">
        <f t="shared" si="20"/>
        <v>964.01321086209146</v>
      </c>
      <c r="D173" s="107">
        <f t="shared" si="21"/>
        <v>40.486884626905294</v>
      </c>
      <c r="E173" s="107">
        <f t="shared" si="22"/>
        <v>23012.533825217779</v>
      </c>
      <c r="F173" s="107">
        <f t="shared" si="23"/>
        <v>923.52632623518616</v>
      </c>
      <c r="G173" s="107">
        <f t="shared" si="24"/>
        <v>126409.51385840638</v>
      </c>
      <c r="H173" s="107">
        <f t="shared" si="25"/>
        <v>23590.486141593618</v>
      </c>
    </row>
    <row r="174" spans="1:8" ht="14.55" x14ac:dyDescent="0.35">
      <c r="A174" s="105">
        <v>156</v>
      </c>
      <c r="B174" s="106">
        <f t="shared" si="19"/>
        <v>48945.8125</v>
      </c>
      <c r="C174" s="107">
        <f t="shared" si="20"/>
        <v>964.01321086209146</v>
      </c>
      <c r="D174" s="107">
        <f t="shared" si="21"/>
        <v>38.961605814664189</v>
      </c>
      <c r="E174" s="107">
        <f t="shared" si="22"/>
        <v>23051.495431032443</v>
      </c>
      <c r="F174" s="107">
        <f t="shared" si="23"/>
        <v>925.0516050474273</v>
      </c>
      <c r="G174" s="107">
        <f t="shared" si="24"/>
        <v>127334.56546345381</v>
      </c>
      <c r="H174" s="107">
        <f t="shared" si="25"/>
        <v>22665.434536546192</v>
      </c>
    </row>
    <row r="175" spans="1:8" ht="14.55" x14ac:dyDescent="0.35">
      <c r="A175" s="105">
        <v>157</v>
      </c>
      <c r="B175" s="106">
        <f t="shared" si="19"/>
        <v>48976.25</v>
      </c>
      <c r="C175" s="107">
        <f t="shared" si="20"/>
        <v>964.01321086209146</v>
      </c>
      <c r="D175" s="107">
        <f t="shared" si="21"/>
        <v>37.43380788045657</v>
      </c>
      <c r="E175" s="107">
        <f t="shared" si="22"/>
        <v>23088.9292389129</v>
      </c>
      <c r="F175" s="107">
        <f t="shared" si="23"/>
        <v>926.57940298163487</v>
      </c>
      <c r="G175" s="107">
        <f t="shared" si="24"/>
        <v>128261.14486643544</v>
      </c>
      <c r="H175" s="107">
        <f t="shared" si="25"/>
        <v>21738.855133564561</v>
      </c>
    </row>
    <row r="176" spans="1:8" ht="14.55" x14ac:dyDescent="0.35">
      <c r="A176" s="105">
        <v>158</v>
      </c>
      <c r="B176" s="106">
        <f t="shared" si="19"/>
        <v>49006.6875</v>
      </c>
      <c r="C176" s="107">
        <f t="shared" si="20"/>
        <v>964.01321086209146</v>
      </c>
      <c r="D176" s="107">
        <f t="shared" si="21"/>
        <v>35.903486663747707</v>
      </c>
      <c r="E176" s="107">
        <f t="shared" si="22"/>
        <v>23124.832725576649</v>
      </c>
      <c r="F176" s="107">
        <f t="shared" si="23"/>
        <v>928.10972419834377</v>
      </c>
      <c r="G176" s="107">
        <f t="shared" si="24"/>
        <v>129189.25459063378</v>
      </c>
      <c r="H176" s="107">
        <f t="shared" si="25"/>
        <v>20810.745409366224</v>
      </c>
    </row>
    <row r="177" spans="1:8" ht="14.55" x14ac:dyDescent="0.35">
      <c r="A177" s="105">
        <v>159</v>
      </c>
      <c r="B177" s="106">
        <f t="shared" si="19"/>
        <v>49037.125</v>
      </c>
      <c r="C177" s="107">
        <f t="shared" si="20"/>
        <v>964.01321086209146</v>
      </c>
      <c r="D177" s="107">
        <f t="shared" si="21"/>
        <v>34.370637997131396</v>
      </c>
      <c r="E177" s="107">
        <f t="shared" si="22"/>
        <v>23159.203363573779</v>
      </c>
      <c r="F177" s="107">
        <f t="shared" si="23"/>
        <v>929.64257286496002</v>
      </c>
      <c r="G177" s="107">
        <f t="shared" si="24"/>
        <v>130118.89716349874</v>
      </c>
      <c r="H177" s="107">
        <f t="shared" si="25"/>
        <v>19881.102836501261</v>
      </c>
    </row>
    <row r="178" spans="1:8" ht="14.55" x14ac:dyDescent="0.35">
      <c r="A178" s="105">
        <v>160</v>
      </c>
      <c r="B178" s="106">
        <f t="shared" si="19"/>
        <v>49067.5625</v>
      </c>
      <c r="C178" s="107">
        <f t="shared" si="20"/>
        <v>964.01321086209146</v>
      </c>
      <c r="D178" s="107">
        <f t="shared" si="21"/>
        <v>32.835257706318615</v>
      </c>
      <c r="E178" s="107">
        <f t="shared" si="22"/>
        <v>23192.038621280099</v>
      </c>
      <c r="F178" s="107">
        <f t="shared" si="23"/>
        <v>931.1779531557728</v>
      </c>
      <c r="G178" s="107">
        <f t="shared" si="24"/>
        <v>131050.07511665451</v>
      </c>
      <c r="H178" s="107">
        <f t="shared" si="25"/>
        <v>18949.924883345491</v>
      </c>
    </row>
    <row r="179" spans="1:8" ht="14.55" x14ac:dyDescent="0.35">
      <c r="A179" s="105">
        <v>161</v>
      </c>
      <c r="B179" s="106">
        <f t="shared" si="19"/>
        <v>49098</v>
      </c>
      <c r="C179" s="107">
        <f t="shared" si="20"/>
        <v>964.01321086209146</v>
      </c>
      <c r="D179" s="107">
        <f t="shared" si="21"/>
        <v>31.297341610126196</v>
      </c>
      <c r="E179" s="107">
        <f t="shared" si="22"/>
        <v>23223.335962890225</v>
      </c>
      <c r="F179" s="107">
        <f t="shared" si="23"/>
        <v>932.71586925196527</v>
      </c>
      <c r="G179" s="107">
        <f t="shared" si="24"/>
        <v>131982.79098590647</v>
      </c>
      <c r="H179" s="107">
        <f t="shared" si="25"/>
        <v>18017.209014093532</v>
      </c>
    </row>
    <row r="180" spans="1:8" ht="14.55" x14ac:dyDescent="0.35">
      <c r="A180" s="105">
        <v>162</v>
      </c>
      <c r="B180" s="106">
        <f t="shared" si="19"/>
        <v>49128.4375</v>
      </c>
      <c r="C180" s="107">
        <f t="shared" si="20"/>
        <v>964.01321086209146</v>
      </c>
      <c r="D180" s="107">
        <f t="shared" si="21"/>
        <v>29.756885520465396</v>
      </c>
      <c r="E180" s="107">
        <f t="shared" si="22"/>
        <v>23253.092848410692</v>
      </c>
      <c r="F180" s="107">
        <f t="shared" si="23"/>
        <v>934.25632534162605</v>
      </c>
      <c r="G180" s="107">
        <f t="shared" si="24"/>
        <v>132917.04731124808</v>
      </c>
      <c r="H180" s="107">
        <f t="shared" si="25"/>
        <v>17082.952688751917</v>
      </c>
    </row>
    <row r="181" spans="1:8" ht="14.55" x14ac:dyDescent="0.35">
      <c r="A181" s="105">
        <v>163</v>
      </c>
      <c r="B181" s="106">
        <f t="shared" si="19"/>
        <v>49158.875</v>
      </c>
      <c r="C181" s="107">
        <f t="shared" si="20"/>
        <v>964.01321086209146</v>
      </c>
      <c r="D181" s="107">
        <f t="shared" si="21"/>
        <v>28.213885242330484</v>
      </c>
      <c r="E181" s="107">
        <f t="shared" si="22"/>
        <v>23281.306733653022</v>
      </c>
      <c r="F181" s="107">
        <f t="shared" si="23"/>
        <v>935.79932561976102</v>
      </c>
      <c r="G181" s="107">
        <f t="shared" si="24"/>
        <v>133852.84663686785</v>
      </c>
      <c r="H181" s="107">
        <f t="shared" si="25"/>
        <v>16147.153363132151</v>
      </c>
    </row>
    <row r="182" spans="1:8" ht="14.55" x14ac:dyDescent="0.35">
      <c r="A182" s="105">
        <v>164</v>
      </c>
      <c r="B182" s="106">
        <f t="shared" si="19"/>
        <v>49189.3125</v>
      </c>
      <c r="C182" s="107">
        <f t="shared" si="20"/>
        <v>964.01321086209146</v>
      </c>
      <c r="D182" s="107">
        <f t="shared" si="21"/>
        <v>26.668336573787322</v>
      </c>
      <c r="E182" s="107">
        <f t="shared" si="22"/>
        <v>23307.97507022681</v>
      </c>
      <c r="F182" s="107">
        <f t="shared" si="23"/>
        <v>937.34487428830414</v>
      </c>
      <c r="G182" s="107">
        <f t="shared" si="24"/>
        <v>134790.19151115615</v>
      </c>
      <c r="H182" s="107">
        <f t="shared" si="25"/>
        <v>15209.808488843846</v>
      </c>
    </row>
    <row r="183" spans="1:8" ht="14.55" x14ac:dyDescent="0.35">
      <c r="A183" s="105">
        <v>165</v>
      </c>
      <c r="B183" s="106">
        <f t="shared" si="19"/>
        <v>49219.75</v>
      </c>
      <c r="C183" s="107">
        <f t="shared" si="20"/>
        <v>964.01321086209146</v>
      </c>
      <c r="D183" s="107">
        <f t="shared" si="21"/>
        <v>25.120235305961994</v>
      </c>
      <c r="E183" s="107">
        <f t="shared" si="22"/>
        <v>23333.095305532774</v>
      </c>
      <c r="F183" s="107">
        <f t="shared" si="23"/>
        <v>938.8929755561295</v>
      </c>
      <c r="G183" s="107">
        <f t="shared" si="24"/>
        <v>135729.08448671229</v>
      </c>
      <c r="H183" s="107">
        <f t="shared" si="25"/>
        <v>14270.915513287706</v>
      </c>
    </row>
    <row r="184" spans="1:8" ht="14.55" x14ac:dyDescent="0.35">
      <c r="A184" s="105">
        <v>166</v>
      </c>
      <c r="B184" s="106">
        <f t="shared" si="19"/>
        <v>49250.1875</v>
      </c>
      <c r="C184" s="107">
        <f t="shared" si="20"/>
        <v>964.01321086209146</v>
      </c>
      <c r="D184" s="107">
        <f t="shared" si="21"/>
        <v>23.569577223029231</v>
      </c>
      <c r="E184" s="107">
        <f t="shared" si="22"/>
        <v>23356.664882755802</v>
      </c>
      <c r="F184" s="107">
        <f t="shared" si="23"/>
        <v>940.44363363906223</v>
      </c>
      <c r="G184" s="107">
        <f t="shared" si="24"/>
        <v>136669.52812035134</v>
      </c>
      <c r="H184" s="107">
        <f t="shared" si="25"/>
        <v>13330.471879648656</v>
      </c>
    </row>
    <row r="185" spans="1:8" ht="14.55" x14ac:dyDescent="0.35">
      <c r="A185" s="105">
        <v>167</v>
      </c>
      <c r="B185" s="106">
        <f t="shared" si="19"/>
        <v>49280.625</v>
      </c>
      <c r="C185" s="107">
        <f t="shared" si="20"/>
        <v>964.01321086209146</v>
      </c>
      <c r="D185" s="107">
        <f t="shared" si="21"/>
        <v>22.016358102201064</v>
      </c>
      <c r="E185" s="107">
        <f t="shared" si="22"/>
        <v>23378.681240858004</v>
      </c>
      <c r="F185" s="107">
        <f t="shared" si="23"/>
        <v>941.99685275989043</v>
      </c>
      <c r="G185" s="107">
        <f t="shared" si="24"/>
        <v>137611.52497311123</v>
      </c>
      <c r="H185" s="107">
        <f t="shared" si="25"/>
        <v>12388.475026888773</v>
      </c>
    </row>
    <row r="186" spans="1:8" ht="14.55" x14ac:dyDescent="0.35">
      <c r="A186" s="105">
        <v>168</v>
      </c>
      <c r="B186" s="106">
        <f t="shared" si="19"/>
        <v>49311.0625</v>
      </c>
      <c r="C186" s="107">
        <f t="shared" si="20"/>
        <v>964.01321086209146</v>
      </c>
      <c r="D186" s="107">
        <f t="shared" si="21"/>
        <v>20.460573713715142</v>
      </c>
      <c r="E186" s="107">
        <f t="shared" si="22"/>
        <v>23399.141814571718</v>
      </c>
      <c r="F186" s="107">
        <f t="shared" si="23"/>
        <v>943.55263714837633</v>
      </c>
      <c r="G186" s="107">
        <f t="shared" si="24"/>
        <v>138555.07761025961</v>
      </c>
      <c r="H186" s="107">
        <f t="shared" si="25"/>
        <v>11444.922389740386</v>
      </c>
    </row>
    <row r="187" spans="1:8" ht="14.55" x14ac:dyDescent="0.35">
      <c r="A187" s="105">
        <v>169</v>
      </c>
      <c r="B187" s="106">
        <f t="shared" si="19"/>
        <v>49341.5</v>
      </c>
      <c r="C187" s="107">
        <f t="shared" si="20"/>
        <v>964.01321086209146</v>
      </c>
      <c r="D187" s="107">
        <f t="shared" si="21"/>
        <v>18.902219820823351</v>
      </c>
      <c r="E187" s="107">
        <f t="shared" si="22"/>
        <v>23418.04403439254</v>
      </c>
      <c r="F187" s="107">
        <f t="shared" si="23"/>
        <v>945.11099104126811</v>
      </c>
      <c r="G187" s="107">
        <f t="shared" si="24"/>
        <v>139500.18860130088</v>
      </c>
      <c r="H187" s="107">
        <f t="shared" si="25"/>
        <v>10499.811398699123</v>
      </c>
    </row>
    <row r="188" spans="1:8" ht="14.55" x14ac:dyDescent="0.35">
      <c r="A188" s="105">
        <v>170</v>
      </c>
      <c r="B188" s="106">
        <f t="shared" si="19"/>
        <v>49371.9375</v>
      </c>
      <c r="C188" s="107">
        <f t="shared" si="20"/>
        <v>964.01321086209146</v>
      </c>
      <c r="D188" s="107">
        <f t="shared" si="21"/>
        <v>17.341292179780307</v>
      </c>
      <c r="E188" s="107">
        <f t="shared" si="22"/>
        <v>23435.385326572319</v>
      </c>
      <c r="F188" s="107">
        <f t="shared" si="23"/>
        <v>946.67191868231112</v>
      </c>
      <c r="G188" s="107">
        <f t="shared" si="24"/>
        <v>140446.86051998319</v>
      </c>
      <c r="H188" s="107">
        <f t="shared" si="25"/>
        <v>9553.1394800168055</v>
      </c>
    </row>
    <row r="189" spans="1:8" ht="14.55" x14ac:dyDescent="0.35">
      <c r="A189" s="105">
        <v>171</v>
      </c>
      <c r="B189" s="106">
        <f t="shared" si="19"/>
        <v>49402.375</v>
      </c>
      <c r="C189" s="107">
        <f t="shared" si="20"/>
        <v>964.01321086209146</v>
      </c>
      <c r="D189" s="107">
        <f t="shared" si="21"/>
        <v>15.777786539831649</v>
      </c>
      <c r="E189" s="107">
        <f t="shared" si="22"/>
        <v>23451.16311311215</v>
      </c>
      <c r="F189" s="107">
        <f t="shared" si="23"/>
        <v>948.23542432225986</v>
      </c>
      <c r="G189" s="107">
        <f t="shared" si="24"/>
        <v>141395.09594430545</v>
      </c>
      <c r="H189" s="107">
        <f t="shared" si="25"/>
        <v>8604.9040556945547</v>
      </c>
    </row>
    <row r="190" spans="1:8" ht="14.55" x14ac:dyDescent="0.35">
      <c r="A190" s="105">
        <v>172</v>
      </c>
      <c r="B190" s="106">
        <f t="shared" si="19"/>
        <v>49432.8125</v>
      </c>
      <c r="C190" s="107">
        <f t="shared" si="20"/>
        <v>964.01321086209146</v>
      </c>
      <c r="D190" s="107">
        <f t="shared" si="21"/>
        <v>14.211698643202629</v>
      </c>
      <c r="E190" s="107">
        <f t="shared" si="22"/>
        <v>23465.374811755351</v>
      </c>
      <c r="F190" s="107">
        <f t="shared" si="23"/>
        <v>949.80151221888877</v>
      </c>
      <c r="G190" s="107">
        <f t="shared" si="24"/>
        <v>142344.89745652434</v>
      </c>
      <c r="H190" s="107">
        <f t="shared" si="25"/>
        <v>7655.1025434756593</v>
      </c>
    </row>
    <row r="191" spans="1:8" ht="14.55" x14ac:dyDescent="0.35">
      <c r="A191" s="105">
        <v>173</v>
      </c>
      <c r="B191" s="106">
        <f t="shared" si="19"/>
        <v>49463.25</v>
      </c>
      <c r="C191" s="107">
        <f t="shared" si="20"/>
        <v>964.01321086209146</v>
      </c>
      <c r="D191" s="107">
        <f t="shared" si="21"/>
        <v>12.643024225086348</v>
      </c>
      <c r="E191" s="107">
        <f t="shared" si="22"/>
        <v>23478.017835980438</v>
      </c>
      <c r="F191" s="107">
        <f t="shared" si="23"/>
        <v>951.37018663700508</v>
      </c>
      <c r="G191" s="107">
        <f t="shared" si="24"/>
        <v>143296.26764316135</v>
      </c>
      <c r="H191" s="107">
        <f t="shared" si="25"/>
        <v>6703.7323568386491</v>
      </c>
    </row>
    <row r="192" spans="1:8" ht="14.55" x14ac:dyDescent="0.35">
      <c r="A192" s="105">
        <v>174</v>
      </c>
      <c r="B192" s="106">
        <f t="shared" si="19"/>
        <v>49493.6875</v>
      </c>
      <c r="C192" s="107">
        <f t="shared" si="20"/>
        <v>964.01321086209146</v>
      </c>
      <c r="D192" s="107">
        <f t="shared" si="21"/>
        <v>11.071759013632308</v>
      </c>
      <c r="E192" s="107">
        <f t="shared" si="22"/>
        <v>23489.089594994071</v>
      </c>
      <c r="F192" s="107">
        <f t="shared" si="23"/>
        <v>952.94145184845911</v>
      </c>
      <c r="G192" s="107">
        <f t="shared" si="24"/>
        <v>144249.20909500981</v>
      </c>
      <c r="H192" s="107">
        <f t="shared" si="25"/>
        <v>5750.7909049901937</v>
      </c>
    </row>
    <row r="193" spans="1:8" ht="14.55" x14ac:dyDescent="0.35">
      <c r="A193" s="105">
        <v>175</v>
      </c>
      <c r="B193" s="106">
        <f t="shared" si="19"/>
        <v>49524.125</v>
      </c>
      <c r="C193" s="107">
        <f t="shared" si="20"/>
        <v>964.01321086209146</v>
      </c>
      <c r="D193" s="107">
        <f t="shared" si="21"/>
        <v>9.497898729934688</v>
      </c>
      <c r="E193" s="107">
        <f t="shared" si="22"/>
        <v>23498.587493724008</v>
      </c>
      <c r="F193" s="107">
        <f t="shared" si="23"/>
        <v>954.51531213215674</v>
      </c>
      <c r="G193" s="107">
        <f t="shared" si="24"/>
        <v>145203.72440714197</v>
      </c>
      <c r="H193" s="107">
        <f t="shared" si="25"/>
        <v>4796.27559285803</v>
      </c>
    </row>
    <row r="194" spans="1:8" ht="14.55" x14ac:dyDescent="0.35">
      <c r="A194" s="105">
        <v>176</v>
      </c>
      <c r="B194" s="106">
        <f t="shared" si="19"/>
        <v>49554.5625</v>
      </c>
      <c r="C194" s="107">
        <f t="shared" si="20"/>
        <v>964.01321086209146</v>
      </c>
      <c r="D194" s="107">
        <f t="shared" si="21"/>
        <v>7.9214390880206595</v>
      </c>
      <c r="E194" s="107">
        <f t="shared" si="22"/>
        <v>23506.50893281203</v>
      </c>
      <c r="F194" s="107">
        <f t="shared" si="23"/>
        <v>956.09177177407082</v>
      </c>
      <c r="G194" s="107">
        <f t="shared" si="24"/>
        <v>146159.81617891605</v>
      </c>
      <c r="H194" s="107">
        <f t="shared" si="25"/>
        <v>3840.1838210839487</v>
      </c>
    </row>
    <row r="195" spans="1:8" ht="14.55" x14ac:dyDescent="0.35">
      <c r="A195" s="105">
        <v>177</v>
      </c>
      <c r="B195" s="106">
        <f t="shared" si="19"/>
        <v>49585</v>
      </c>
      <c r="C195" s="107">
        <f t="shared" si="20"/>
        <v>964.01321086209146</v>
      </c>
      <c r="D195" s="107">
        <f t="shared" si="21"/>
        <v>6.3423757948388086</v>
      </c>
      <c r="E195" s="107">
        <f t="shared" si="22"/>
        <v>23512.851308606871</v>
      </c>
      <c r="F195" s="107">
        <f t="shared" si="23"/>
        <v>957.6708350672526</v>
      </c>
      <c r="G195" s="107">
        <f t="shared" si="24"/>
        <v>147117.48701398331</v>
      </c>
      <c r="H195" s="107">
        <f t="shared" si="25"/>
        <v>2882.5129860166926</v>
      </c>
    </row>
    <row r="196" spans="1:8" ht="14.55" x14ac:dyDescent="0.35">
      <c r="A196" s="105">
        <v>178</v>
      </c>
      <c r="B196" s="106">
        <f t="shared" si="19"/>
        <v>49615.4375</v>
      </c>
      <c r="C196" s="107">
        <f t="shared" si="20"/>
        <v>964.01321086209146</v>
      </c>
      <c r="D196" s="107">
        <f t="shared" si="21"/>
        <v>4.7607045502474019</v>
      </c>
      <c r="E196" s="107">
        <f t="shared" si="22"/>
        <v>23517.612013157119</v>
      </c>
      <c r="F196" s="107">
        <f t="shared" si="23"/>
        <v>959.25250631184406</v>
      </c>
      <c r="G196" s="107">
        <f t="shared" si="24"/>
        <v>148076.73952029514</v>
      </c>
      <c r="H196" s="107">
        <f t="shared" si="25"/>
        <v>1923.2604797048552</v>
      </c>
    </row>
    <row r="197" spans="1:8" ht="14.55" x14ac:dyDescent="0.35">
      <c r="A197" s="105">
        <v>179</v>
      </c>
      <c r="B197" s="106">
        <f t="shared" si="19"/>
        <v>49645.875</v>
      </c>
      <c r="C197" s="107">
        <f t="shared" si="20"/>
        <v>964.01321086209146</v>
      </c>
      <c r="D197" s="107">
        <f t="shared" si="21"/>
        <v>3.1764210470026595</v>
      </c>
      <c r="E197" s="107">
        <f t="shared" si="22"/>
        <v>23520.788434204122</v>
      </c>
      <c r="F197" s="107">
        <f t="shared" si="23"/>
        <v>960.83678981508876</v>
      </c>
      <c r="G197" s="107">
        <f t="shared" si="24"/>
        <v>149037.57631011022</v>
      </c>
      <c r="H197" s="107">
        <f t="shared" si="25"/>
        <v>962.42368988977978</v>
      </c>
    </row>
    <row r="198" spans="1:8" ht="14.55" x14ac:dyDescent="0.35">
      <c r="A198" s="105">
        <v>180</v>
      </c>
      <c r="B198" s="106">
        <f t="shared" si="19"/>
        <v>49676.3125</v>
      </c>
      <c r="C198" s="107">
        <f t="shared" si="20"/>
        <v>964.01321086209146</v>
      </c>
      <c r="D198" s="107">
        <f t="shared" si="21"/>
        <v>1.5895209707470286</v>
      </c>
      <c r="E198" s="107">
        <f t="shared" si="22"/>
        <v>23522.37795517487</v>
      </c>
      <c r="F198" s="107">
        <f t="shared" si="23"/>
        <v>962.42368989134445</v>
      </c>
      <c r="G198" s="107">
        <f t="shared" si="24"/>
        <v>150000.00000000157</v>
      </c>
      <c r="H198" s="107">
        <f t="shared" si="25"/>
        <v>-1.57160684466362E-9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575444B234C745A6F08204C8D744C6" ma:contentTypeVersion="9" ma:contentTypeDescription="Crée un document." ma:contentTypeScope="" ma:versionID="b6608806c96954e5f4fa00585b0bc3b0">
  <xsd:schema xmlns:xsd="http://www.w3.org/2001/XMLSchema" xmlns:xs="http://www.w3.org/2001/XMLSchema" xmlns:p="http://schemas.microsoft.com/office/2006/metadata/properties" xmlns:ns2="c627deba-beac-42b3-9d38-3a0647286ef2" targetNamespace="http://schemas.microsoft.com/office/2006/metadata/properties" ma:root="true" ma:fieldsID="49312286fb57cea2d44b59c8b6306f2a" ns2:_="">
    <xsd:import namespace="c627deba-beac-42b3-9d38-3a0647286e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7deba-beac-42b3-9d38-3a0647286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2CB695-AC7B-4DCB-95E8-84745A98E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27deba-beac-42b3-9d38-3a0647286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B36299-D457-4BC8-AE1F-13B3624A60E9}">
  <ds:schemaRefs>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 ds:uri="c627deba-beac-42b3-9d38-3a0647286ef2"/>
    <ds:schemaRef ds:uri="http://schemas.microsoft.com/office/2006/documentManagement/typ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2CA1D7F-AC19-40D4-BBAE-262CD3EB3A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Résultat</vt:lpstr>
      <vt:lpstr>Trésorerie</vt:lpstr>
      <vt:lpstr>Bilan</vt:lpstr>
      <vt:lpstr>Plan financier</vt:lpstr>
      <vt:lpstr>FR, BFR, T</vt:lpstr>
      <vt:lpstr>Break even point</vt:lpstr>
      <vt:lpstr>Invest initial</vt:lpstr>
      <vt:lpstr>Emprunt fin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virgile tassin</dc:creator>
  <cp:lastModifiedBy>virgile tassin</cp:lastModifiedBy>
  <dcterms:created xsi:type="dcterms:W3CDTF">2021-06-29T15:46:48Z</dcterms:created>
  <dcterms:modified xsi:type="dcterms:W3CDTF">2021-08-08T09:03:40Z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0x01010093575444B234C745A6F08204C8D744C6</vt:lpwstr>
  </property>
</Properties>
</file>