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240" yWindow="240" windowWidth="25360" windowHeight="15220" tabRatio="500"/>
  </bookViews>
  <sheets>
    <sheet name="Donnée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G248" i="1" l="1"/>
  <c r="BN248" i="1"/>
  <c r="BF248" i="1"/>
  <c r="BC248" i="1"/>
  <c r="BA248" i="1"/>
  <c r="AK248" i="1"/>
  <c r="AF248" i="1"/>
  <c r="AE248" i="1"/>
  <c r="Z248" i="1"/>
  <c r="Q248" i="1"/>
  <c r="CG247" i="1"/>
  <c r="BN247" i="1"/>
  <c r="BF247" i="1"/>
  <c r="BC247" i="1"/>
  <c r="BA247" i="1"/>
  <c r="AK247" i="1"/>
  <c r="AF247" i="1"/>
  <c r="AE247" i="1"/>
  <c r="Z247" i="1"/>
  <c r="Q247" i="1"/>
  <c r="CG246" i="1"/>
  <c r="BN246" i="1"/>
  <c r="BF246" i="1"/>
  <c r="BC246" i="1"/>
  <c r="BA246" i="1"/>
  <c r="AK246" i="1"/>
  <c r="AF246" i="1"/>
  <c r="AE246" i="1"/>
  <c r="Z246" i="1"/>
  <c r="Q246" i="1"/>
  <c r="CG245" i="1"/>
  <c r="BN245" i="1"/>
  <c r="BF245" i="1"/>
  <c r="BC245" i="1"/>
  <c r="BA245" i="1"/>
  <c r="AK245" i="1"/>
  <c r="AF245" i="1"/>
  <c r="AE245" i="1"/>
  <c r="Z245" i="1"/>
  <c r="Q245" i="1"/>
  <c r="CG244" i="1"/>
  <c r="BN244" i="1"/>
  <c r="BF244" i="1"/>
  <c r="BC244" i="1"/>
  <c r="BA244" i="1"/>
  <c r="AK244" i="1"/>
  <c r="AF244" i="1"/>
  <c r="AE244" i="1"/>
  <c r="Z244" i="1"/>
  <c r="Q244" i="1"/>
  <c r="CG243" i="1"/>
  <c r="BN243" i="1"/>
  <c r="BF243" i="1"/>
  <c r="BC243" i="1"/>
  <c r="BA243" i="1"/>
  <c r="AK243" i="1"/>
  <c r="AF243" i="1"/>
  <c r="AE243" i="1"/>
  <c r="Z243" i="1"/>
  <c r="Q243" i="1"/>
  <c r="CG242" i="1"/>
  <c r="BN242" i="1"/>
  <c r="BF242" i="1"/>
  <c r="BC242" i="1"/>
  <c r="BA242" i="1"/>
  <c r="AK242" i="1"/>
  <c r="AF242" i="1"/>
  <c r="AE242" i="1"/>
  <c r="Z242" i="1"/>
  <c r="Q242" i="1"/>
  <c r="CG241" i="1"/>
  <c r="BN241" i="1"/>
  <c r="BF241" i="1"/>
  <c r="BC241" i="1"/>
  <c r="BA241" i="1"/>
  <c r="AK241" i="1"/>
  <c r="AF241" i="1"/>
  <c r="AE241" i="1"/>
  <c r="Z241" i="1"/>
  <c r="Q241" i="1"/>
  <c r="CG240" i="1"/>
  <c r="BN240" i="1"/>
  <c r="BF240" i="1"/>
  <c r="BC240" i="1"/>
  <c r="BA240" i="1"/>
  <c r="AK240" i="1"/>
  <c r="AF240" i="1"/>
  <c r="AE240" i="1"/>
  <c r="Z240" i="1"/>
  <c r="Q240" i="1"/>
  <c r="CG239" i="1"/>
  <c r="BN239" i="1"/>
  <c r="BF239" i="1"/>
  <c r="BC239" i="1"/>
  <c r="BA239" i="1"/>
  <c r="AK239" i="1"/>
  <c r="AF239" i="1"/>
  <c r="AE239" i="1"/>
  <c r="Z239" i="1"/>
  <c r="Q239" i="1"/>
  <c r="CG238" i="1"/>
  <c r="BN238" i="1"/>
  <c r="BF238" i="1"/>
  <c r="BC238" i="1"/>
  <c r="BA238" i="1"/>
  <c r="AK238" i="1"/>
  <c r="AF238" i="1"/>
  <c r="AE238" i="1"/>
  <c r="Z238" i="1"/>
  <c r="Q238" i="1"/>
  <c r="CG237" i="1"/>
  <c r="BN237" i="1"/>
  <c r="BF237" i="1"/>
  <c r="BC237" i="1"/>
  <c r="BA237" i="1"/>
  <c r="AK237" i="1"/>
  <c r="AF237" i="1"/>
  <c r="AE237" i="1"/>
  <c r="Z237" i="1"/>
  <c r="Q237" i="1"/>
  <c r="CG236" i="1"/>
  <c r="BC236" i="1"/>
  <c r="BA236" i="1"/>
  <c r="AT236" i="1"/>
  <c r="AK236" i="1"/>
  <c r="AF236" i="1"/>
  <c r="AE236" i="1"/>
  <c r="Z236" i="1"/>
  <c r="Q236" i="1"/>
  <c r="BN235" i="1"/>
  <c r="BF235" i="1"/>
  <c r="BC235" i="1"/>
  <c r="BA235" i="1"/>
  <c r="AM235" i="1"/>
  <c r="AN235" i="1"/>
  <c r="AK235" i="1"/>
  <c r="AF235" i="1"/>
  <c r="AE235" i="1"/>
  <c r="Z235" i="1"/>
  <c r="Q235" i="1"/>
  <c r="BN234" i="1"/>
  <c r="BF234" i="1"/>
  <c r="BC234" i="1"/>
  <c r="BA234" i="1"/>
  <c r="AM234" i="1"/>
  <c r="AN234" i="1"/>
  <c r="AK234" i="1"/>
  <c r="AF234" i="1"/>
  <c r="AE234" i="1"/>
  <c r="Z234" i="1"/>
  <c r="Q234" i="1"/>
  <c r="BN233" i="1"/>
  <c r="BF233" i="1"/>
  <c r="BC233" i="1"/>
  <c r="BA233" i="1"/>
  <c r="AM233" i="1"/>
  <c r="AN233" i="1"/>
  <c r="AK233" i="1"/>
  <c r="AF233" i="1"/>
  <c r="AE233" i="1"/>
  <c r="Z233" i="1"/>
  <c r="Q233" i="1"/>
  <c r="BN232" i="1"/>
  <c r="BF232" i="1"/>
  <c r="BC232" i="1"/>
  <c r="BA232" i="1"/>
  <c r="AM232" i="1"/>
  <c r="AN232" i="1"/>
  <c r="AK232" i="1"/>
  <c r="AF232" i="1"/>
  <c r="AE232" i="1"/>
  <c r="Z232" i="1"/>
  <c r="Q232" i="1"/>
  <c r="BN231" i="1"/>
  <c r="BF231" i="1"/>
  <c r="BC231" i="1"/>
  <c r="BA231" i="1"/>
  <c r="AM231" i="1"/>
  <c r="AN231" i="1"/>
  <c r="AK231" i="1"/>
  <c r="AF231" i="1"/>
  <c r="AE231" i="1"/>
  <c r="Z231" i="1"/>
  <c r="Q231" i="1"/>
  <c r="BN230" i="1"/>
  <c r="BF230" i="1"/>
  <c r="BC230" i="1"/>
  <c r="BA230" i="1"/>
  <c r="AM230" i="1"/>
  <c r="AN230" i="1"/>
  <c r="AK230" i="1"/>
  <c r="AF230" i="1"/>
  <c r="AE230" i="1"/>
  <c r="Z230" i="1"/>
  <c r="Q230" i="1"/>
  <c r="BN229" i="1"/>
  <c r="BF229" i="1"/>
  <c r="BC229" i="1"/>
  <c r="BA229" i="1"/>
  <c r="AM229" i="1"/>
  <c r="AN229" i="1"/>
  <c r="AK229" i="1"/>
  <c r="AF229" i="1"/>
  <c r="AE229" i="1"/>
  <c r="Z229" i="1"/>
  <c r="Q229" i="1"/>
  <c r="BN228" i="1"/>
  <c r="BF228" i="1"/>
  <c r="BC228" i="1"/>
  <c r="BA228" i="1"/>
  <c r="AM228" i="1"/>
  <c r="AN228" i="1"/>
  <c r="AK228" i="1"/>
  <c r="AF228" i="1"/>
  <c r="AE228" i="1"/>
  <c r="Z228" i="1"/>
  <c r="Q228" i="1"/>
  <c r="BN227" i="1"/>
  <c r="BF227" i="1"/>
  <c r="BC227" i="1"/>
  <c r="BA227" i="1"/>
  <c r="AM227" i="1"/>
  <c r="AN227" i="1"/>
  <c r="AK227" i="1"/>
  <c r="AF227" i="1"/>
  <c r="AE227" i="1"/>
  <c r="Z227" i="1"/>
  <c r="Q227" i="1"/>
  <c r="BN226" i="1"/>
  <c r="BF226" i="1"/>
  <c r="BC226" i="1"/>
  <c r="BA226" i="1"/>
  <c r="AM226" i="1"/>
  <c r="AN226" i="1"/>
  <c r="AK226" i="1"/>
  <c r="AF226" i="1"/>
  <c r="AE226" i="1"/>
  <c r="Z226" i="1"/>
  <c r="Q226" i="1"/>
  <c r="BN225" i="1"/>
  <c r="BF225" i="1"/>
  <c r="BC225" i="1"/>
  <c r="BA225" i="1"/>
  <c r="AM225" i="1"/>
  <c r="AN225" i="1"/>
  <c r="AK225" i="1"/>
  <c r="AF225" i="1"/>
  <c r="AE225" i="1"/>
  <c r="Z225" i="1"/>
  <c r="Q225" i="1"/>
  <c r="BN224" i="1"/>
  <c r="BF224" i="1"/>
  <c r="BC224" i="1"/>
  <c r="BA224" i="1"/>
  <c r="AM224" i="1"/>
  <c r="AN224" i="1"/>
  <c r="AK224" i="1"/>
  <c r="AF224" i="1"/>
  <c r="AE224" i="1"/>
  <c r="Z224" i="1"/>
  <c r="Q224" i="1"/>
  <c r="BC223" i="1"/>
  <c r="BA223" i="1"/>
  <c r="AT223" i="1"/>
  <c r="AM223" i="1"/>
  <c r="AN223" i="1"/>
  <c r="AK223" i="1"/>
  <c r="AF223" i="1"/>
  <c r="AE223" i="1"/>
  <c r="Z223" i="1"/>
  <c r="Q223" i="1"/>
  <c r="CG222" i="1"/>
  <c r="BN222" i="1"/>
  <c r="BF222" i="1"/>
  <c r="BC222" i="1"/>
  <c r="BA222" i="1"/>
  <c r="AK222" i="1"/>
  <c r="AF222" i="1"/>
  <c r="AE222" i="1"/>
  <c r="Z222" i="1"/>
  <c r="Q222" i="1"/>
  <c r="CG221" i="1"/>
  <c r="BN221" i="1"/>
  <c r="BF221" i="1"/>
  <c r="BC221" i="1"/>
  <c r="BA221" i="1"/>
  <c r="AK221" i="1"/>
  <c r="AF221" i="1"/>
  <c r="AE221" i="1"/>
  <c r="Z221" i="1"/>
  <c r="Q221" i="1"/>
  <c r="CG220" i="1"/>
  <c r="BN220" i="1"/>
  <c r="BF220" i="1"/>
  <c r="BC220" i="1"/>
  <c r="BA220" i="1"/>
  <c r="AK220" i="1"/>
  <c r="AF220" i="1"/>
  <c r="AE220" i="1"/>
  <c r="Z220" i="1"/>
  <c r="Q220" i="1"/>
  <c r="CG219" i="1"/>
  <c r="BN219" i="1"/>
  <c r="BF219" i="1"/>
  <c r="BC219" i="1"/>
  <c r="BA219" i="1"/>
  <c r="AK219" i="1"/>
  <c r="AF219" i="1"/>
  <c r="AE219" i="1"/>
  <c r="Z219" i="1"/>
  <c r="Q219" i="1"/>
  <c r="CG218" i="1"/>
  <c r="BN218" i="1"/>
  <c r="BF218" i="1"/>
  <c r="BC218" i="1"/>
  <c r="BA218" i="1"/>
  <c r="AK218" i="1"/>
  <c r="AF218" i="1"/>
  <c r="AE218" i="1"/>
  <c r="Z218" i="1"/>
  <c r="Q218" i="1"/>
  <c r="CG217" i="1"/>
  <c r="BN217" i="1"/>
  <c r="BF217" i="1"/>
  <c r="BC217" i="1"/>
  <c r="BA217" i="1"/>
  <c r="AK217" i="1"/>
  <c r="AF217" i="1"/>
  <c r="AE217" i="1"/>
  <c r="Z217" i="1"/>
  <c r="Q217" i="1"/>
  <c r="CG216" i="1"/>
  <c r="BN216" i="1"/>
  <c r="BF216" i="1"/>
  <c r="BC216" i="1"/>
  <c r="BA216" i="1"/>
  <c r="AK216" i="1"/>
  <c r="AF216" i="1"/>
  <c r="AE216" i="1"/>
  <c r="Z216" i="1"/>
  <c r="Q216" i="1"/>
  <c r="CG215" i="1"/>
  <c r="BN215" i="1"/>
  <c r="BF215" i="1"/>
  <c r="BC215" i="1"/>
  <c r="BA215" i="1"/>
  <c r="AK215" i="1"/>
  <c r="AF215" i="1"/>
  <c r="AE215" i="1"/>
  <c r="Z215" i="1"/>
  <c r="Q215" i="1"/>
  <c r="CG214" i="1"/>
  <c r="BN214" i="1"/>
  <c r="BF214" i="1"/>
  <c r="BC214" i="1"/>
  <c r="BA214" i="1"/>
  <c r="AK214" i="1"/>
  <c r="AF214" i="1"/>
  <c r="AE214" i="1"/>
  <c r="Z214" i="1"/>
  <c r="Q214" i="1"/>
  <c r="CG213" i="1"/>
  <c r="BN213" i="1"/>
  <c r="BF213" i="1"/>
  <c r="BC213" i="1"/>
  <c r="BA213" i="1"/>
  <c r="AK213" i="1"/>
  <c r="AF213" i="1"/>
  <c r="AE213" i="1"/>
  <c r="Z213" i="1"/>
  <c r="Q213" i="1"/>
  <c r="CG212" i="1"/>
  <c r="BN212" i="1"/>
  <c r="BF212" i="1"/>
  <c r="BC212" i="1"/>
  <c r="BA212" i="1"/>
  <c r="AK212" i="1"/>
  <c r="AF212" i="1"/>
  <c r="AE212" i="1"/>
  <c r="Z212" i="1"/>
  <c r="Q212" i="1"/>
  <c r="CG211" i="1"/>
  <c r="BN211" i="1"/>
  <c r="BF211" i="1"/>
  <c r="BC211" i="1"/>
  <c r="BA211" i="1"/>
  <c r="AK211" i="1"/>
  <c r="AF211" i="1"/>
  <c r="AE211" i="1"/>
  <c r="Z211" i="1"/>
  <c r="Q211" i="1"/>
  <c r="CG210" i="1"/>
  <c r="BC210" i="1"/>
  <c r="BA210" i="1"/>
  <c r="AT210" i="1"/>
  <c r="AK210" i="1"/>
  <c r="AF210" i="1"/>
  <c r="AE210" i="1"/>
  <c r="Z210" i="1"/>
  <c r="Q210" i="1"/>
  <c r="CG209" i="1"/>
  <c r="BN209" i="1"/>
  <c r="BF209" i="1"/>
  <c r="BC209" i="1"/>
  <c r="BA209" i="1"/>
  <c r="AM209" i="1"/>
  <c r="AN209" i="1"/>
  <c r="AK209" i="1"/>
  <c r="Z209" i="1"/>
  <c r="Q209" i="1"/>
  <c r="CG208" i="1"/>
  <c r="BN208" i="1"/>
  <c r="BF208" i="1"/>
  <c r="BC208" i="1"/>
  <c r="BA208" i="1"/>
  <c r="AM208" i="1"/>
  <c r="AN208" i="1"/>
  <c r="AK208" i="1"/>
  <c r="Z208" i="1"/>
  <c r="Q208" i="1"/>
  <c r="CG207" i="1"/>
  <c r="BN207" i="1"/>
  <c r="BF207" i="1"/>
  <c r="BC207" i="1"/>
  <c r="BA207" i="1"/>
  <c r="AM207" i="1"/>
  <c r="AN207" i="1"/>
  <c r="AK207" i="1"/>
  <c r="Z207" i="1"/>
  <c r="Q207" i="1"/>
  <c r="CG206" i="1"/>
  <c r="BN206" i="1"/>
  <c r="BF206" i="1"/>
  <c r="BC206" i="1"/>
  <c r="BA206" i="1"/>
  <c r="AM206" i="1"/>
  <c r="AN206" i="1"/>
  <c r="AK206" i="1"/>
  <c r="Z206" i="1"/>
  <c r="Q206" i="1"/>
  <c r="CG205" i="1"/>
  <c r="BN205" i="1"/>
  <c r="BF205" i="1"/>
  <c r="BC205" i="1"/>
  <c r="BA205" i="1"/>
  <c r="AM205" i="1"/>
  <c r="AN205" i="1"/>
  <c r="AK205" i="1"/>
  <c r="Z205" i="1"/>
  <c r="Q205" i="1"/>
  <c r="CG204" i="1"/>
  <c r="BN204" i="1"/>
  <c r="BF204" i="1"/>
  <c r="BC204" i="1"/>
  <c r="BA204" i="1"/>
  <c r="AM204" i="1"/>
  <c r="AN204" i="1"/>
  <c r="AK204" i="1"/>
  <c r="Z204" i="1"/>
  <c r="Q204" i="1"/>
  <c r="CG203" i="1"/>
  <c r="BN203" i="1"/>
  <c r="BF203" i="1"/>
  <c r="BC203" i="1"/>
  <c r="BA203" i="1"/>
  <c r="AM203" i="1"/>
  <c r="AN203" i="1"/>
  <c r="AK203" i="1"/>
  <c r="Z203" i="1"/>
  <c r="Q203" i="1"/>
  <c r="CG202" i="1"/>
  <c r="BN202" i="1"/>
  <c r="BF202" i="1"/>
  <c r="BC202" i="1"/>
  <c r="BA202" i="1"/>
  <c r="AM202" i="1"/>
  <c r="AN202" i="1"/>
  <c r="AK202" i="1"/>
  <c r="AH202" i="1"/>
  <c r="Z202" i="1"/>
  <c r="Q202" i="1"/>
  <c r="CG201" i="1"/>
  <c r="BN201" i="1"/>
  <c r="BF201" i="1"/>
  <c r="BC201" i="1"/>
  <c r="BA201" i="1"/>
  <c r="AM201" i="1"/>
  <c r="AN201" i="1"/>
  <c r="AK201" i="1"/>
  <c r="Z201" i="1"/>
  <c r="Q201" i="1"/>
  <c r="CG200" i="1"/>
  <c r="BN200" i="1"/>
  <c r="BF200" i="1"/>
  <c r="BC200" i="1"/>
  <c r="BA200" i="1"/>
  <c r="AM200" i="1"/>
  <c r="AN200" i="1"/>
  <c r="AK200" i="1"/>
  <c r="AH200" i="1"/>
  <c r="Z200" i="1"/>
  <c r="Q200" i="1"/>
  <c r="CG199" i="1"/>
  <c r="BN199" i="1"/>
  <c r="BF199" i="1"/>
  <c r="BC199" i="1"/>
  <c r="BA199" i="1"/>
  <c r="AM199" i="1"/>
  <c r="AN199" i="1"/>
  <c r="AK199" i="1"/>
  <c r="Z199" i="1"/>
  <c r="Q199" i="1"/>
  <c r="CG198" i="1"/>
  <c r="BN198" i="1"/>
  <c r="BF198" i="1"/>
  <c r="BC198" i="1"/>
  <c r="BA198" i="1"/>
  <c r="AM198" i="1"/>
  <c r="AN198" i="1"/>
  <c r="AK198" i="1"/>
  <c r="AH198" i="1"/>
  <c r="Z198" i="1"/>
  <c r="Q198" i="1"/>
  <c r="CG197" i="1"/>
  <c r="BC197" i="1"/>
  <c r="BA197" i="1"/>
  <c r="AT197" i="1"/>
  <c r="AN197" i="1"/>
  <c r="AK197" i="1"/>
  <c r="Z197" i="1"/>
  <c r="Q197" i="1"/>
  <c r="DP196" i="1"/>
  <c r="CG196" i="1"/>
  <c r="BN196" i="1"/>
  <c r="BF196" i="1"/>
  <c r="BC196" i="1"/>
  <c r="BA196" i="1"/>
  <c r="AM196" i="1"/>
  <c r="AN196" i="1"/>
  <c r="AK196" i="1"/>
  <c r="AF196" i="1"/>
  <c r="AE196" i="1"/>
  <c r="Z196" i="1"/>
  <c r="DP195" i="1"/>
  <c r="CG195" i="1"/>
  <c r="BN195" i="1"/>
  <c r="BF195" i="1"/>
  <c r="BC195" i="1"/>
  <c r="BA195" i="1"/>
  <c r="AM195" i="1"/>
  <c r="AN195" i="1"/>
  <c r="AK195" i="1"/>
  <c r="AF195" i="1"/>
  <c r="AE195" i="1"/>
  <c r="Z195" i="1"/>
  <c r="DP194" i="1"/>
  <c r="CG194" i="1"/>
  <c r="BN194" i="1"/>
  <c r="BF194" i="1"/>
  <c r="BC194" i="1"/>
  <c r="BA194" i="1"/>
  <c r="AM194" i="1"/>
  <c r="AN194" i="1"/>
  <c r="AK194" i="1"/>
  <c r="AF194" i="1"/>
  <c r="AE194" i="1"/>
  <c r="Z194" i="1"/>
  <c r="DP193" i="1"/>
  <c r="CG193" i="1"/>
  <c r="BN193" i="1"/>
  <c r="BF193" i="1"/>
  <c r="BC193" i="1"/>
  <c r="BA193" i="1"/>
  <c r="AM193" i="1"/>
  <c r="AN193" i="1"/>
  <c r="AK193" i="1"/>
  <c r="AF193" i="1"/>
  <c r="AE193" i="1"/>
  <c r="Z193" i="1"/>
  <c r="DP192" i="1"/>
  <c r="CG192" i="1"/>
  <c r="BN192" i="1"/>
  <c r="BF192" i="1"/>
  <c r="BC192" i="1"/>
  <c r="BA192" i="1"/>
  <c r="AM192" i="1"/>
  <c r="AN192" i="1"/>
  <c r="AK192" i="1"/>
  <c r="AH192" i="1"/>
  <c r="AF192" i="1"/>
  <c r="AE192" i="1"/>
  <c r="Z192" i="1"/>
  <c r="DP191" i="1"/>
  <c r="CG191" i="1"/>
  <c r="BN191" i="1"/>
  <c r="BF191" i="1"/>
  <c r="BC191" i="1"/>
  <c r="BA191" i="1"/>
  <c r="AM191" i="1"/>
  <c r="AN191" i="1"/>
  <c r="AK191" i="1"/>
  <c r="AF191" i="1"/>
  <c r="AE191" i="1"/>
  <c r="Z191" i="1"/>
  <c r="DP190" i="1"/>
  <c r="CG190" i="1"/>
  <c r="BN190" i="1"/>
  <c r="BF190" i="1"/>
  <c r="BC190" i="1"/>
  <c r="BA190" i="1"/>
  <c r="AM190" i="1"/>
  <c r="AN190" i="1"/>
  <c r="AK190" i="1"/>
  <c r="AF190" i="1"/>
  <c r="AE190" i="1"/>
  <c r="Z190" i="1"/>
  <c r="DP189" i="1"/>
  <c r="CG189" i="1"/>
  <c r="BN189" i="1"/>
  <c r="BF189" i="1"/>
  <c r="BC189" i="1"/>
  <c r="BA189" i="1"/>
  <c r="AM189" i="1"/>
  <c r="AN189" i="1"/>
  <c r="AK189" i="1"/>
  <c r="AF189" i="1"/>
  <c r="AE189" i="1"/>
  <c r="Z189" i="1"/>
  <c r="DP188" i="1"/>
  <c r="CG188" i="1"/>
  <c r="BN188" i="1"/>
  <c r="BF188" i="1"/>
  <c r="BC188" i="1"/>
  <c r="BA188" i="1"/>
  <c r="AM188" i="1"/>
  <c r="AN188" i="1"/>
  <c r="AK188" i="1"/>
  <c r="AF188" i="1"/>
  <c r="AE188" i="1"/>
  <c r="Z188" i="1"/>
  <c r="DP187" i="1"/>
  <c r="CG187" i="1"/>
  <c r="BN187" i="1"/>
  <c r="BF187" i="1"/>
  <c r="BC187" i="1"/>
  <c r="BA187" i="1"/>
  <c r="AM187" i="1"/>
  <c r="AN187" i="1"/>
  <c r="AK187" i="1"/>
  <c r="AH187" i="1"/>
  <c r="AF187" i="1"/>
  <c r="AE187" i="1"/>
  <c r="Z187" i="1"/>
  <c r="DP186" i="1"/>
  <c r="CG186" i="1"/>
  <c r="BN186" i="1"/>
  <c r="BF186" i="1"/>
  <c r="BC186" i="1"/>
  <c r="BA186" i="1"/>
  <c r="AM186" i="1"/>
  <c r="AN186" i="1"/>
  <c r="AK186" i="1"/>
  <c r="AF186" i="1"/>
  <c r="AE186" i="1"/>
  <c r="Z186" i="1"/>
  <c r="DP185" i="1"/>
  <c r="CG185" i="1"/>
  <c r="BN185" i="1"/>
  <c r="BF185" i="1"/>
  <c r="BC185" i="1"/>
  <c r="BA185" i="1"/>
  <c r="AM185" i="1"/>
  <c r="AN185" i="1"/>
  <c r="AK185" i="1"/>
  <c r="AF185" i="1"/>
  <c r="AE185" i="1"/>
  <c r="Z185" i="1"/>
  <c r="DP184" i="1"/>
  <c r="CG184" i="1"/>
  <c r="BC184" i="1"/>
  <c r="BA184" i="1"/>
  <c r="AT184" i="1"/>
  <c r="AM184" i="1"/>
  <c r="AN184" i="1"/>
  <c r="AK184" i="1"/>
  <c r="AF184" i="1"/>
  <c r="AE184" i="1"/>
  <c r="Z184" i="1"/>
  <c r="DP183" i="1"/>
  <c r="CG183" i="1"/>
  <c r="BN183" i="1"/>
  <c r="BF183" i="1"/>
  <c r="BC183" i="1"/>
  <c r="BA183" i="1"/>
  <c r="AM183" i="1"/>
  <c r="AN183" i="1"/>
  <c r="AK183" i="1"/>
  <c r="AF183" i="1"/>
  <c r="AE183" i="1"/>
  <c r="DP182" i="1"/>
  <c r="CG182" i="1"/>
  <c r="BN182" i="1"/>
  <c r="BF182" i="1"/>
  <c r="BC182" i="1"/>
  <c r="BA182" i="1"/>
  <c r="AM182" i="1"/>
  <c r="AN182" i="1"/>
  <c r="AK182" i="1"/>
  <c r="AF182" i="1"/>
  <c r="AE182" i="1"/>
  <c r="DP181" i="1"/>
  <c r="CG181" i="1"/>
  <c r="BN181" i="1"/>
  <c r="BF181" i="1"/>
  <c r="BC181" i="1"/>
  <c r="BA181" i="1"/>
  <c r="AM181" i="1"/>
  <c r="AN181" i="1"/>
  <c r="AK181" i="1"/>
  <c r="AF181" i="1"/>
  <c r="AE181" i="1"/>
  <c r="DP180" i="1"/>
  <c r="CG180" i="1"/>
  <c r="BN180" i="1"/>
  <c r="BF180" i="1"/>
  <c r="BC180" i="1"/>
  <c r="BA180" i="1"/>
  <c r="AM180" i="1"/>
  <c r="AN180" i="1"/>
  <c r="AK180" i="1"/>
  <c r="AF180" i="1"/>
  <c r="AE180" i="1"/>
  <c r="DP179" i="1"/>
  <c r="CG179" i="1"/>
  <c r="BN179" i="1"/>
  <c r="BF179" i="1"/>
  <c r="BC179" i="1"/>
  <c r="BA179" i="1"/>
  <c r="AM179" i="1"/>
  <c r="AN179" i="1"/>
  <c r="AK179" i="1"/>
  <c r="AF179" i="1"/>
  <c r="AE179" i="1"/>
  <c r="DP178" i="1"/>
  <c r="CG178" i="1"/>
  <c r="BN178" i="1"/>
  <c r="BF178" i="1"/>
  <c r="BC178" i="1"/>
  <c r="BA178" i="1"/>
  <c r="AM178" i="1"/>
  <c r="AN178" i="1"/>
  <c r="AK178" i="1"/>
  <c r="AF178" i="1"/>
  <c r="AE178" i="1"/>
  <c r="DP177" i="1"/>
  <c r="CG177" i="1"/>
  <c r="BN177" i="1"/>
  <c r="BF177" i="1"/>
  <c r="BC177" i="1"/>
  <c r="BA177" i="1"/>
  <c r="AM177" i="1"/>
  <c r="AN177" i="1"/>
  <c r="AK177" i="1"/>
  <c r="AF177" i="1"/>
  <c r="AE177" i="1"/>
  <c r="Z177" i="1"/>
  <c r="DP176" i="1"/>
  <c r="CG176" i="1"/>
  <c r="BN176" i="1"/>
  <c r="BF176" i="1"/>
  <c r="BC176" i="1"/>
  <c r="BA176" i="1"/>
  <c r="AM176" i="1"/>
  <c r="AN176" i="1"/>
  <c r="AK176" i="1"/>
  <c r="AF176" i="1"/>
  <c r="AE176" i="1"/>
  <c r="Z176" i="1"/>
  <c r="DP175" i="1"/>
  <c r="CG175" i="1"/>
  <c r="BN175" i="1"/>
  <c r="BF175" i="1"/>
  <c r="BC175" i="1"/>
  <c r="BA175" i="1"/>
  <c r="AM175" i="1"/>
  <c r="AN175" i="1"/>
  <c r="AK175" i="1"/>
  <c r="AF175" i="1"/>
  <c r="AE175" i="1"/>
  <c r="Z175" i="1"/>
  <c r="DP174" i="1"/>
  <c r="CG174" i="1"/>
  <c r="BN174" i="1"/>
  <c r="BF174" i="1"/>
  <c r="BC174" i="1"/>
  <c r="BA174" i="1"/>
  <c r="AM174" i="1"/>
  <c r="AN174" i="1"/>
  <c r="AK174" i="1"/>
  <c r="AF174" i="1"/>
  <c r="AE174" i="1"/>
  <c r="Z174" i="1"/>
  <c r="DP173" i="1"/>
  <c r="CG173" i="1"/>
  <c r="BN173" i="1"/>
  <c r="BF173" i="1"/>
  <c r="BC173" i="1"/>
  <c r="BA173" i="1"/>
  <c r="AM173" i="1"/>
  <c r="AN173" i="1"/>
  <c r="AK173" i="1"/>
  <c r="AF173" i="1"/>
  <c r="AE173" i="1"/>
  <c r="Z173" i="1"/>
  <c r="DP172" i="1"/>
  <c r="CG172" i="1"/>
  <c r="BN172" i="1"/>
  <c r="BF172" i="1"/>
  <c r="BC172" i="1"/>
  <c r="BA172" i="1"/>
  <c r="AM172" i="1"/>
  <c r="AN172" i="1"/>
  <c r="AK172" i="1"/>
  <c r="AF172" i="1"/>
  <c r="AE172" i="1"/>
  <c r="Z172" i="1"/>
  <c r="DP171" i="1"/>
  <c r="CG171" i="1"/>
  <c r="BC171" i="1"/>
  <c r="BA171" i="1"/>
  <c r="AT171" i="1"/>
  <c r="AN171" i="1"/>
  <c r="AK171" i="1"/>
  <c r="AF171" i="1"/>
  <c r="AE171" i="1"/>
  <c r="Z171" i="1"/>
  <c r="DP170" i="1"/>
  <c r="CG170" i="1"/>
  <c r="BN170" i="1"/>
  <c r="BF170" i="1"/>
  <c r="BC170" i="1"/>
  <c r="BA170" i="1"/>
  <c r="AM170" i="1"/>
  <c r="AK170" i="1"/>
  <c r="AF170" i="1"/>
  <c r="AE170" i="1"/>
  <c r="Z170" i="1"/>
  <c r="Q170" i="1"/>
  <c r="DP169" i="1"/>
  <c r="CG169" i="1"/>
  <c r="BN169" i="1"/>
  <c r="BF169" i="1"/>
  <c r="BC169" i="1"/>
  <c r="BA169" i="1"/>
  <c r="AM169" i="1"/>
  <c r="AK169" i="1"/>
  <c r="AF169" i="1"/>
  <c r="AE169" i="1"/>
  <c r="Z169" i="1"/>
  <c r="Q169" i="1"/>
  <c r="DP168" i="1"/>
  <c r="CG168" i="1"/>
  <c r="BN168" i="1"/>
  <c r="BF168" i="1"/>
  <c r="BC168" i="1"/>
  <c r="BA168" i="1"/>
  <c r="AM168" i="1"/>
  <c r="AK168" i="1"/>
  <c r="AF168" i="1"/>
  <c r="AE168" i="1"/>
  <c r="Z168" i="1"/>
  <c r="Q168" i="1"/>
  <c r="DP167" i="1"/>
  <c r="CG167" i="1"/>
  <c r="BN167" i="1"/>
  <c r="BF167" i="1"/>
  <c r="BC167" i="1"/>
  <c r="BA167" i="1"/>
  <c r="AM167" i="1"/>
  <c r="AN167" i="1"/>
  <c r="AK167" i="1"/>
  <c r="AF167" i="1"/>
  <c r="AE167" i="1"/>
  <c r="Z167" i="1"/>
  <c r="Q167" i="1"/>
  <c r="DP166" i="1"/>
  <c r="CG166" i="1"/>
  <c r="BN166" i="1"/>
  <c r="BF166" i="1"/>
  <c r="BC166" i="1"/>
  <c r="BA166" i="1"/>
  <c r="AM166" i="1"/>
  <c r="AN166" i="1"/>
  <c r="AK166" i="1"/>
  <c r="AF166" i="1"/>
  <c r="AE166" i="1"/>
  <c r="Z166" i="1"/>
  <c r="Q166" i="1"/>
  <c r="DP165" i="1"/>
  <c r="CG165" i="1"/>
  <c r="BN165" i="1"/>
  <c r="BF165" i="1"/>
  <c r="BC165" i="1"/>
  <c r="BA165" i="1"/>
  <c r="AM165" i="1"/>
  <c r="AN165" i="1"/>
  <c r="AK165" i="1"/>
  <c r="AF165" i="1"/>
  <c r="AE165" i="1"/>
  <c r="Z165" i="1"/>
  <c r="Q165" i="1"/>
  <c r="DP164" i="1"/>
  <c r="CG164" i="1"/>
  <c r="BN164" i="1"/>
  <c r="BF164" i="1"/>
  <c r="BC164" i="1"/>
  <c r="BA164" i="1"/>
  <c r="AM164" i="1"/>
  <c r="AN164" i="1"/>
  <c r="AK164" i="1"/>
  <c r="AF164" i="1"/>
  <c r="AE164" i="1"/>
  <c r="Z164" i="1"/>
  <c r="Q164" i="1"/>
  <c r="DP163" i="1"/>
  <c r="CG163" i="1"/>
  <c r="BN163" i="1"/>
  <c r="BF163" i="1"/>
  <c r="BC163" i="1"/>
  <c r="BA163" i="1"/>
  <c r="AM163" i="1"/>
  <c r="AN163" i="1"/>
  <c r="AK163" i="1"/>
  <c r="AF163" i="1"/>
  <c r="AE163" i="1"/>
  <c r="Z163" i="1"/>
  <c r="Q163" i="1"/>
  <c r="DP162" i="1"/>
  <c r="CG162" i="1"/>
  <c r="BN162" i="1"/>
  <c r="BF162" i="1"/>
  <c r="BC162" i="1"/>
  <c r="BA162" i="1"/>
  <c r="AM162" i="1"/>
  <c r="AN162" i="1"/>
  <c r="AK162" i="1"/>
  <c r="AF162" i="1"/>
  <c r="AE162" i="1"/>
  <c r="Z162" i="1"/>
  <c r="Q162" i="1"/>
  <c r="DP161" i="1"/>
  <c r="CG161" i="1"/>
  <c r="BN161" i="1"/>
  <c r="BF161" i="1"/>
  <c r="BC161" i="1"/>
  <c r="BA161" i="1"/>
  <c r="AM161" i="1"/>
  <c r="AN161" i="1"/>
  <c r="AK161" i="1"/>
  <c r="AF161" i="1"/>
  <c r="AE161" i="1"/>
  <c r="Z161" i="1"/>
  <c r="Q161" i="1"/>
  <c r="DP160" i="1"/>
  <c r="CG160" i="1"/>
  <c r="BN160" i="1"/>
  <c r="BF160" i="1"/>
  <c r="BC160" i="1"/>
  <c r="BA160" i="1"/>
  <c r="AM160" i="1"/>
  <c r="AN160" i="1"/>
  <c r="AK160" i="1"/>
  <c r="AF160" i="1"/>
  <c r="AE160" i="1"/>
  <c r="Z160" i="1"/>
  <c r="Q160" i="1"/>
  <c r="DP159" i="1"/>
  <c r="CG159" i="1"/>
  <c r="BN159" i="1"/>
  <c r="BF159" i="1"/>
  <c r="BC159" i="1"/>
  <c r="BA159" i="1"/>
  <c r="AM159" i="1"/>
  <c r="AN159" i="1"/>
  <c r="AK159" i="1"/>
  <c r="AF159" i="1"/>
  <c r="AE159" i="1"/>
  <c r="Z159" i="1"/>
  <c r="Q159" i="1"/>
  <c r="DP158" i="1"/>
  <c r="CG158" i="1"/>
  <c r="BC158" i="1"/>
  <c r="BA158" i="1"/>
  <c r="AT158" i="1"/>
  <c r="AM158" i="1"/>
  <c r="AN158" i="1"/>
  <c r="AK158" i="1"/>
  <c r="AF158" i="1"/>
  <c r="AE158" i="1"/>
  <c r="Z158" i="1"/>
  <c r="Q158" i="1"/>
  <c r="DP157" i="1"/>
  <c r="CG157" i="1"/>
  <c r="BN157" i="1"/>
  <c r="BF157" i="1"/>
  <c r="BC157" i="1"/>
  <c r="BA157" i="1"/>
  <c r="AM157" i="1"/>
  <c r="AN157" i="1"/>
  <c r="AK157" i="1"/>
  <c r="AF157" i="1"/>
  <c r="AE157" i="1"/>
  <c r="Z157" i="1"/>
  <c r="DP156" i="1"/>
  <c r="CG156" i="1"/>
  <c r="BN156" i="1"/>
  <c r="BF156" i="1"/>
  <c r="BC156" i="1"/>
  <c r="BA156" i="1"/>
  <c r="AM156" i="1"/>
  <c r="AN156" i="1"/>
  <c r="AK156" i="1"/>
  <c r="AF156" i="1"/>
  <c r="AE156" i="1"/>
  <c r="Z156" i="1"/>
  <c r="DP155" i="1"/>
  <c r="CG155" i="1"/>
  <c r="BN155" i="1"/>
  <c r="BF155" i="1"/>
  <c r="BC155" i="1"/>
  <c r="BA155" i="1"/>
  <c r="AM155" i="1"/>
  <c r="AN155" i="1"/>
  <c r="AK155" i="1"/>
  <c r="AF155" i="1"/>
  <c r="AE155" i="1"/>
  <c r="Z155" i="1"/>
  <c r="DP154" i="1"/>
  <c r="CG154" i="1"/>
  <c r="BN154" i="1"/>
  <c r="BF154" i="1"/>
  <c r="BC154" i="1"/>
  <c r="BA154" i="1"/>
  <c r="AM154" i="1"/>
  <c r="AN154" i="1"/>
  <c r="AK154" i="1"/>
  <c r="AF154" i="1"/>
  <c r="AE154" i="1"/>
  <c r="Z154" i="1"/>
  <c r="DP153" i="1"/>
  <c r="CG153" i="1"/>
  <c r="BN153" i="1"/>
  <c r="BF153" i="1"/>
  <c r="BC153" i="1"/>
  <c r="BA153" i="1"/>
  <c r="AM153" i="1"/>
  <c r="AN153" i="1"/>
  <c r="AJ153" i="1"/>
  <c r="AK153" i="1"/>
  <c r="AF153" i="1"/>
  <c r="AE153" i="1"/>
  <c r="Z153" i="1"/>
  <c r="DP152" i="1"/>
  <c r="CG152" i="1"/>
  <c r="BN152" i="1"/>
  <c r="BF152" i="1"/>
  <c r="BC152" i="1"/>
  <c r="BA152" i="1"/>
  <c r="AM152" i="1"/>
  <c r="AN152" i="1"/>
  <c r="AK152" i="1"/>
  <c r="AF152" i="1"/>
  <c r="AE152" i="1"/>
  <c r="Z152" i="1"/>
  <c r="DP151" i="1"/>
  <c r="CG151" i="1"/>
  <c r="BN151" i="1"/>
  <c r="BF151" i="1"/>
  <c r="BC151" i="1"/>
  <c r="BA151" i="1"/>
  <c r="AM151" i="1"/>
  <c r="AN151" i="1"/>
  <c r="AK151" i="1"/>
  <c r="AF151" i="1"/>
  <c r="AE151" i="1"/>
  <c r="Z151" i="1"/>
  <c r="DP150" i="1"/>
  <c r="CG150" i="1"/>
  <c r="BN150" i="1"/>
  <c r="BF150" i="1"/>
  <c r="BC150" i="1"/>
  <c r="BA150" i="1"/>
  <c r="AM150" i="1"/>
  <c r="AN150" i="1"/>
  <c r="AK150" i="1"/>
  <c r="AF150" i="1"/>
  <c r="AE150" i="1"/>
  <c r="Z150" i="1"/>
  <c r="DP149" i="1"/>
  <c r="CG149" i="1"/>
  <c r="BN149" i="1"/>
  <c r="BF149" i="1"/>
  <c r="BC149" i="1"/>
  <c r="BA149" i="1"/>
  <c r="AM149" i="1"/>
  <c r="AN149" i="1"/>
  <c r="AK149" i="1"/>
  <c r="AF149" i="1"/>
  <c r="AE149" i="1"/>
  <c r="Z149" i="1"/>
  <c r="DP148" i="1"/>
  <c r="CG148" i="1"/>
  <c r="BN148" i="1"/>
  <c r="BF148" i="1"/>
  <c r="BC148" i="1"/>
  <c r="BA148" i="1"/>
  <c r="AM148" i="1"/>
  <c r="AN148" i="1"/>
  <c r="AK148" i="1"/>
  <c r="AF148" i="1"/>
  <c r="AE148" i="1"/>
  <c r="Z148" i="1"/>
  <c r="DP147" i="1"/>
  <c r="CG147" i="1"/>
  <c r="BN147" i="1"/>
  <c r="BF147" i="1"/>
  <c r="BC147" i="1"/>
  <c r="BA147" i="1"/>
  <c r="AM147" i="1"/>
  <c r="AN147" i="1"/>
  <c r="AK147" i="1"/>
  <c r="AF147" i="1"/>
  <c r="AE147" i="1"/>
  <c r="Z147" i="1"/>
  <c r="DP146" i="1"/>
  <c r="CG146" i="1"/>
  <c r="BN146" i="1"/>
  <c r="BF146" i="1"/>
  <c r="BC146" i="1"/>
  <c r="BA146" i="1"/>
  <c r="AM146" i="1"/>
  <c r="AN146" i="1"/>
  <c r="AK146" i="1"/>
  <c r="AF146" i="1"/>
  <c r="AE146" i="1"/>
  <c r="DP145" i="1"/>
  <c r="CG145" i="1"/>
  <c r="BC145" i="1"/>
  <c r="BA145" i="1"/>
  <c r="AT145" i="1"/>
  <c r="AM145" i="1"/>
  <c r="AN145" i="1"/>
  <c r="AK145" i="1"/>
  <c r="AF145" i="1"/>
  <c r="AE145" i="1"/>
  <c r="DP144" i="1"/>
  <c r="CG144" i="1"/>
  <c r="BN144" i="1"/>
  <c r="BF144" i="1"/>
  <c r="BC144" i="1"/>
  <c r="BA144" i="1"/>
  <c r="AM144" i="1"/>
  <c r="AN144" i="1"/>
  <c r="AK144" i="1"/>
  <c r="Z144" i="1"/>
  <c r="DP143" i="1"/>
  <c r="CG143" i="1"/>
  <c r="BN143" i="1"/>
  <c r="BF143" i="1"/>
  <c r="BC143" i="1"/>
  <c r="BA143" i="1"/>
  <c r="AM143" i="1"/>
  <c r="AN143" i="1"/>
  <c r="AK143" i="1"/>
  <c r="Z143" i="1"/>
  <c r="DP142" i="1"/>
  <c r="CG142" i="1"/>
  <c r="BN142" i="1"/>
  <c r="BF142" i="1"/>
  <c r="BC142" i="1"/>
  <c r="BA142" i="1"/>
  <c r="AM142" i="1"/>
  <c r="AN142" i="1"/>
  <c r="AK142" i="1"/>
  <c r="Z142" i="1"/>
  <c r="DP141" i="1"/>
  <c r="CG141" i="1"/>
  <c r="BN141" i="1"/>
  <c r="BF141" i="1"/>
  <c r="BC141" i="1"/>
  <c r="BA141" i="1"/>
  <c r="AM141" i="1"/>
  <c r="AN141" i="1"/>
  <c r="AJ141" i="1"/>
  <c r="AK141" i="1"/>
  <c r="Z141" i="1"/>
  <c r="DP140" i="1"/>
  <c r="CG140" i="1"/>
  <c r="BN140" i="1"/>
  <c r="BF140" i="1"/>
  <c r="BC140" i="1"/>
  <c r="BA140" i="1"/>
  <c r="AM140" i="1"/>
  <c r="AN140" i="1"/>
  <c r="AK140" i="1"/>
  <c r="Z140" i="1"/>
  <c r="DP139" i="1"/>
  <c r="CG139" i="1"/>
  <c r="BN139" i="1"/>
  <c r="BF139" i="1"/>
  <c r="BC139" i="1"/>
  <c r="BA139" i="1"/>
  <c r="AM139" i="1"/>
  <c r="AN139" i="1"/>
  <c r="AK139" i="1"/>
  <c r="AF139" i="1"/>
  <c r="AE139" i="1"/>
  <c r="Z139" i="1"/>
  <c r="DP138" i="1"/>
  <c r="CG138" i="1"/>
  <c r="BN138" i="1"/>
  <c r="BF138" i="1"/>
  <c r="BC138" i="1"/>
  <c r="BA138" i="1"/>
  <c r="AM138" i="1"/>
  <c r="AN138" i="1"/>
  <c r="AK138" i="1"/>
  <c r="AF138" i="1"/>
  <c r="AE138" i="1"/>
  <c r="Z138" i="1"/>
  <c r="DP137" i="1"/>
  <c r="CG137" i="1"/>
  <c r="BN137" i="1"/>
  <c r="BF137" i="1"/>
  <c r="BC137" i="1"/>
  <c r="BA137" i="1"/>
  <c r="AM137" i="1"/>
  <c r="AN137" i="1"/>
  <c r="AK137" i="1"/>
  <c r="AF137" i="1"/>
  <c r="AE137" i="1"/>
  <c r="Z137" i="1"/>
  <c r="DP136" i="1"/>
  <c r="CG136" i="1"/>
  <c r="BN136" i="1"/>
  <c r="BF136" i="1"/>
  <c r="BC136" i="1"/>
  <c r="BA136" i="1"/>
  <c r="AM136" i="1"/>
  <c r="AN136" i="1"/>
  <c r="AK136" i="1"/>
  <c r="AF136" i="1"/>
  <c r="AE136" i="1"/>
  <c r="Z136" i="1"/>
  <c r="DP135" i="1"/>
  <c r="CG135" i="1"/>
  <c r="BN135" i="1"/>
  <c r="BF135" i="1"/>
  <c r="BC135" i="1"/>
  <c r="BA135" i="1"/>
  <c r="AM135" i="1"/>
  <c r="AN135" i="1"/>
  <c r="AK135" i="1"/>
  <c r="AF135" i="1"/>
  <c r="AE135" i="1"/>
  <c r="Z135" i="1"/>
  <c r="DP134" i="1"/>
  <c r="CG134" i="1"/>
  <c r="BN134" i="1"/>
  <c r="BF134" i="1"/>
  <c r="BC134" i="1"/>
  <c r="BA134" i="1"/>
  <c r="AM134" i="1"/>
  <c r="AN134" i="1"/>
  <c r="AK134" i="1"/>
  <c r="AF134" i="1"/>
  <c r="AE134" i="1"/>
  <c r="Z134" i="1"/>
  <c r="DP133" i="1"/>
  <c r="CG133" i="1"/>
  <c r="BN133" i="1"/>
  <c r="BF133" i="1"/>
  <c r="BC133" i="1"/>
  <c r="BA133" i="1"/>
  <c r="AM133" i="1"/>
  <c r="AN133" i="1"/>
  <c r="AK133" i="1"/>
  <c r="AF133" i="1"/>
  <c r="AE133" i="1"/>
  <c r="Z133" i="1"/>
  <c r="DP132" i="1"/>
  <c r="CG132" i="1"/>
  <c r="BC132" i="1"/>
  <c r="BA132" i="1"/>
  <c r="AT132" i="1"/>
  <c r="AM132" i="1"/>
  <c r="AN132" i="1"/>
  <c r="AK132" i="1"/>
  <c r="AF132" i="1"/>
  <c r="AE132" i="1"/>
  <c r="DP131" i="1"/>
  <c r="CG131" i="1"/>
  <c r="BN131" i="1"/>
  <c r="BF131" i="1"/>
  <c r="BC131" i="1"/>
  <c r="BA131" i="1"/>
  <c r="AM131" i="1"/>
  <c r="AN131" i="1"/>
  <c r="AK131" i="1"/>
  <c r="AF131" i="1"/>
  <c r="AE131" i="1"/>
  <c r="Z131" i="1"/>
  <c r="Q131" i="1"/>
  <c r="DP130" i="1"/>
  <c r="CG130" i="1"/>
  <c r="BN130" i="1"/>
  <c r="BF130" i="1"/>
  <c r="BC130" i="1"/>
  <c r="BA130" i="1"/>
  <c r="AM130" i="1"/>
  <c r="AN130" i="1"/>
  <c r="AK130" i="1"/>
  <c r="AF130" i="1"/>
  <c r="AE130" i="1"/>
  <c r="Z130" i="1"/>
  <c r="Q130" i="1"/>
  <c r="DP129" i="1"/>
  <c r="CG129" i="1"/>
  <c r="BN129" i="1"/>
  <c r="BF129" i="1"/>
  <c r="BC129" i="1"/>
  <c r="BA129" i="1"/>
  <c r="AM129" i="1"/>
  <c r="AN129" i="1"/>
  <c r="AK129" i="1"/>
  <c r="AF129" i="1"/>
  <c r="AE129" i="1"/>
  <c r="Z129" i="1"/>
  <c r="Q129" i="1"/>
  <c r="DP128" i="1"/>
  <c r="CG128" i="1"/>
  <c r="BN128" i="1"/>
  <c r="BF128" i="1"/>
  <c r="BC128" i="1"/>
  <c r="BA128" i="1"/>
  <c r="AM128" i="1"/>
  <c r="AN128" i="1"/>
  <c r="AK128" i="1"/>
  <c r="AF128" i="1"/>
  <c r="AE128" i="1"/>
  <c r="Z128" i="1"/>
  <c r="Q128" i="1"/>
  <c r="DP127" i="1"/>
  <c r="CG127" i="1"/>
  <c r="BN127" i="1"/>
  <c r="BF127" i="1"/>
  <c r="BC127" i="1"/>
  <c r="BA127" i="1"/>
  <c r="AM127" i="1"/>
  <c r="AN127" i="1"/>
  <c r="AK127" i="1"/>
  <c r="AF127" i="1"/>
  <c r="AE127" i="1"/>
  <c r="Z127" i="1"/>
  <c r="Q127" i="1"/>
  <c r="DP126" i="1"/>
  <c r="CG126" i="1"/>
  <c r="BN126" i="1"/>
  <c r="BF126" i="1"/>
  <c r="BC126" i="1"/>
  <c r="BA126" i="1"/>
  <c r="AM126" i="1"/>
  <c r="AN126" i="1"/>
  <c r="AK126" i="1"/>
  <c r="AF126" i="1"/>
  <c r="AE126" i="1"/>
  <c r="Z126" i="1"/>
  <c r="Q126" i="1"/>
  <c r="DP125" i="1"/>
  <c r="CG125" i="1"/>
  <c r="BN125" i="1"/>
  <c r="BF125" i="1"/>
  <c r="BC125" i="1"/>
  <c r="BA125" i="1"/>
  <c r="AM125" i="1"/>
  <c r="AN125" i="1"/>
  <c r="AK125" i="1"/>
  <c r="AF125" i="1"/>
  <c r="AE125" i="1"/>
  <c r="Z125" i="1"/>
  <c r="Q125" i="1"/>
  <c r="DP124" i="1"/>
  <c r="CG124" i="1"/>
  <c r="BN124" i="1"/>
  <c r="BF124" i="1"/>
  <c r="BC124" i="1"/>
  <c r="BA124" i="1"/>
  <c r="AM124" i="1"/>
  <c r="AN124" i="1"/>
  <c r="AK124" i="1"/>
  <c r="AF124" i="1"/>
  <c r="AE124" i="1"/>
  <c r="Z124" i="1"/>
  <c r="Q124" i="1"/>
  <c r="DP123" i="1"/>
  <c r="CG123" i="1"/>
  <c r="BN123" i="1"/>
  <c r="BF123" i="1"/>
  <c r="BC123" i="1"/>
  <c r="BA123" i="1"/>
  <c r="AM123" i="1"/>
  <c r="AN123" i="1"/>
  <c r="AK123" i="1"/>
  <c r="AF123" i="1"/>
  <c r="AE123" i="1"/>
  <c r="Z123" i="1"/>
  <c r="Q123" i="1"/>
  <c r="DP122" i="1"/>
  <c r="CG122" i="1"/>
  <c r="BN122" i="1"/>
  <c r="BF122" i="1"/>
  <c r="BC122" i="1"/>
  <c r="BA122" i="1"/>
  <c r="AM122" i="1"/>
  <c r="AN122" i="1"/>
  <c r="AK122" i="1"/>
  <c r="AF122" i="1"/>
  <c r="AE122" i="1"/>
  <c r="Z122" i="1"/>
  <c r="Q122" i="1"/>
  <c r="DP121" i="1"/>
  <c r="CG121" i="1"/>
  <c r="BN121" i="1"/>
  <c r="BF121" i="1"/>
  <c r="BC121" i="1"/>
  <c r="BA121" i="1"/>
  <c r="AM121" i="1"/>
  <c r="AN121" i="1"/>
  <c r="AK121" i="1"/>
  <c r="AF121" i="1"/>
  <c r="AE121" i="1"/>
  <c r="Z121" i="1"/>
  <c r="Q121" i="1"/>
  <c r="DP120" i="1"/>
  <c r="CG120" i="1"/>
  <c r="BN120" i="1"/>
  <c r="BF120" i="1"/>
  <c r="BC120" i="1"/>
  <c r="BA120" i="1"/>
  <c r="AM120" i="1"/>
  <c r="AN120" i="1"/>
  <c r="AK120" i="1"/>
  <c r="AF120" i="1"/>
  <c r="AE120" i="1"/>
  <c r="Z120" i="1"/>
  <c r="Q120" i="1"/>
  <c r="DP119" i="1"/>
  <c r="CG119" i="1"/>
  <c r="BC119" i="1"/>
  <c r="BA119" i="1"/>
  <c r="AT119" i="1"/>
  <c r="AM119" i="1"/>
  <c r="AN119" i="1"/>
  <c r="AK119" i="1"/>
  <c r="AF119" i="1"/>
  <c r="AE119" i="1"/>
  <c r="Z119" i="1"/>
  <c r="Q119" i="1"/>
  <c r="DP118" i="1"/>
  <c r="CG118" i="1"/>
  <c r="BN118" i="1"/>
  <c r="BF118" i="1"/>
  <c r="BC118" i="1"/>
  <c r="BA118" i="1"/>
  <c r="AN118" i="1"/>
  <c r="AK118" i="1"/>
  <c r="Z118" i="1"/>
  <c r="Q118" i="1"/>
  <c r="DP117" i="1"/>
  <c r="CG117" i="1"/>
  <c r="BN117" i="1"/>
  <c r="BF117" i="1"/>
  <c r="BC117" i="1"/>
  <c r="BA117" i="1"/>
  <c r="AN117" i="1"/>
  <c r="AK117" i="1"/>
  <c r="Z117" i="1"/>
  <c r="Q117" i="1"/>
  <c r="DP116" i="1"/>
  <c r="CG116" i="1"/>
  <c r="BN116" i="1"/>
  <c r="BF116" i="1"/>
  <c r="BC116" i="1"/>
  <c r="BA116" i="1"/>
  <c r="AN116" i="1"/>
  <c r="AK116" i="1"/>
  <c r="Z116" i="1"/>
  <c r="Q116" i="1"/>
  <c r="DP115" i="1"/>
  <c r="CG115" i="1"/>
  <c r="BN115" i="1"/>
  <c r="BF115" i="1"/>
  <c r="BC115" i="1"/>
  <c r="BA115" i="1"/>
  <c r="AN115" i="1"/>
  <c r="AK115" i="1"/>
  <c r="Z115" i="1"/>
  <c r="Q115" i="1"/>
  <c r="DP114" i="1"/>
  <c r="CG114" i="1"/>
  <c r="BN114" i="1"/>
  <c r="BF114" i="1"/>
  <c r="BC114" i="1"/>
  <c r="BA114" i="1"/>
  <c r="AN114" i="1"/>
  <c r="AK114" i="1"/>
  <c r="Z114" i="1"/>
  <c r="Q114" i="1"/>
  <c r="DP113" i="1"/>
  <c r="CG113" i="1"/>
  <c r="BN113" i="1"/>
  <c r="BF113" i="1"/>
  <c r="BC113" i="1"/>
  <c r="BA113" i="1"/>
  <c r="AN113" i="1"/>
  <c r="AK113" i="1"/>
  <c r="Z113" i="1"/>
  <c r="Q113" i="1"/>
  <c r="DP112" i="1"/>
  <c r="CG112" i="1"/>
  <c r="BN112" i="1"/>
  <c r="BF112" i="1"/>
  <c r="BC112" i="1"/>
  <c r="BA112" i="1"/>
  <c r="AN112" i="1"/>
  <c r="AK112" i="1"/>
  <c r="Z112" i="1"/>
  <c r="Q112" i="1"/>
  <c r="DP111" i="1"/>
  <c r="CG111" i="1"/>
  <c r="BN111" i="1"/>
  <c r="BF111" i="1"/>
  <c r="BC111" i="1"/>
  <c r="BA111" i="1"/>
  <c r="AN111" i="1"/>
  <c r="AK111" i="1"/>
  <c r="Z111" i="1"/>
  <c r="Q111" i="1"/>
  <c r="DP110" i="1"/>
  <c r="CG110" i="1"/>
  <c r="BN110" i="1"/>
  <c r="BF110" i="1"/>
  <c r="BC110" i="1"/>
  <c r="BA110" i="1"/>
  <c r="AN110" i="1"/>
  <c r="AK110" i="1"/>
  <c r="Z110" i="1"/>
  <c r="Q110" i="1"/>
  <c r="DP109" i="1"/>
  <c r="CG109" i="1"/>
  <c r="BN109" i="1"/>
  <c r="BF109" i="1"/>
  <c r="BC109" i="1"/>
  <c r="BA109" i="1"/>
  <c r="AN109" i="1"/>
  <c r="AK109" i="1"/>
  <c r="Z109" i="1"/>
  <c r="Q109" i="1"/>
  <c r="DP108" i="1"/>
  <c r="CG108" i="1"/>
  <c r="BN108" i="1"/>
  <c r="BF108" i="1"/>
  <c r="BC108" i="1"/>
  <c r="BA108" i="1"/>
  <c r="AN108" i="1"/>
  <c r="AK108" i="1"/>
  <c r="Z108" i="1"/>
  <c r="Q108" i="1"/>
  <c r="DP107" i="1"/>
  <c r="CG107" i="1"/>
  <c r="BN107" i="1"/>
  <c r="BF107" i="1"/>
  <c r="BC107" i="1"/>
  <c r="BA107" i="1"/>
  <c r="AN107" i="1"/>
  <c r="AK107" i="1"/>
  <c r="Z107" i="1"/>
  <c r="Q107" i="1"/>
  <c r="DP106" i="1"/>
  <c r="CG106" i="1"/>
  <c r="BC106" i="1"/>
  <c r="BA106" i="1"/>
  <c r="AN106" i="1"/>
  <c r="AK106" i="1"/>
  <c r="Z106" i="1"/>
  <c r="Q106" i="1"/>
  <c r="DP105" i="1"/>
  <c r="CG105" i="1"/>
  <c r="BN105" i="1"/>
  <c r="BF105" i="1"/>
  <c r="BC105" i="1"/>
  <c r="BA105" i="1"/>
  <c r="AM105" i="1"/>
  <c r="AN105" i="1"/>
  <c r="AK105" i="1"/>
  <c r="AF105" i="1"/>
  <c r="AE105" i="1"/>
  <c r="Z105" i="1"/>
  <c r="Q105" i="1"/>
  <c r="DP104" i="1"/>
  <c r="CG104" i="1"/>
  <c r="BN104" i="1"/>
  <c r="BF104" i="1"/>
  <c r="BC104" i="1"/>
  <c r="BA104" i="1"/>
  <c r="AM104" i="1"/>
  <c r="AN104" i="1"/>
  <c r="AK104" i="1"/>
  <c r="AF104" i="1"/>
  <c r="AE104" i="1"/>
  <c r="Z104" i="1"/>
  <c r="Q104" i="1"/>
  <c r="DP103" i="1"/>
  <c r="CG103" i="1"/>
  <c r="BN103" i="1"/>
  <c r="BF103" i="1"/>
  <c r="BC103" i="1"/>
  <c r="BA103" i="1"/>
  <c r="AM103" i="1"/>
  <c r="AN103" i="1"/>
  <c r="AK103" i="1"/>
  <c r="AF103" i="1"/>
  <c r="AE103" i="1"/>
  <c r="Z103" i="1"/>
  <c r="Q103" i="1"/>
  <c r="DP102" i="1"/>
  <c r="CG102" i="1"/>
  <c r="BN102" i="1"/>
  <c r="BF102" i="1"/>
  <c r="BC102" i="1"/>
  <c r="BA102" i="1"/>
  <c r="AM102" i="1"/>
  <c r="AN102" i="1"/>
  <c r="AK102" i="1"/>
  <c r="AF102" i="1"/>
  <c r="AE102" i="1"/>
  <c r="Z102" i="1"/>
  <c r="Q102" i="1"/>
  <c r="DP101" i="1"/>
  <c r="CG101" i="1"/>
  <c r="BN101" i="1"/>
  <c r="BF101" i="1"/>
  <c r="BC101" i="1"/>
  <c r="BA101" i="1"/>
  <c r="AM101" i="1"/>
  <c r="AN101" i="1"/>
  <c r="AK101" i="1"/>
  <c r="AF101" i="1"/>
  <c r="AE101" i="1"/>
  <c r="Z101" i="1"/>
  <c r="Q101" i="1"/>
  <c r="DP100" i="1"/>
  <c r="CG100" i="1"/>
  <c r="BN100" i="1"/>
  <c r="BF100" i="1"/>
  <c r="BC100" i="1"/>
  <c r="BA100" i="1"/>
  <c r="AM100" i="1"/>
  <c r="AN100" i="1"/>
  <c r="AK100" i="1"/>
  <c r="AF100" i="1"/>
  <c r="AE100" i="1"/>
  <c r="Z100" i="1"/>
  <c r="Q100" i="1"/>
  <c r="DP99" i="1"/>
  <c r="CG99" i="1"/>
  <c r="BN99" i="1"/>
  <c r="BF99" i="1"/>
  <c r="BC99" i="1"/>
  <c r="BA99" i="1"/>
  <c r="AM99" i="1"/>
  <c r="AN99" i="1"/>
  <c r="AK99" i="1"/>
  <c r="AF99" i="1"/>
  <c r="AE99" i="1"/>
  <c r="Z99" i="1"/>
  <c r="Q99" i="1"/>
  <c r="DP98" i="1"/>
  <c r="CG98" i="1"/>
  <c r="BN98" i="1"/>
  <c r="BF98" i="1"/>
  <c r="BC98" i="1"/>
  <c r="BA98" i="1"/>
  <c r="AM98" i="1"/>
  <c r="AN98" i="1"/>
  <c r="AK98" i="1"/>
  <c r="AF98" i="1"/>
  <c r="AE98" i="1"/>
  <c r="Z98" i="1"/>
  <c r="Q98" i="1"/>
  <c r="DP97" i="1"/>
  <c r="CG97" i="1"/>
  <c r="BN97" i="1"/>
  <c r="BF97" i="1"/>
  <c r="BC97" i="1"/>
  <c r="BA97" i="1"/>
  <c r="AM97" i="1"/>
  <c r="AN97" i="1"/>
  <c r="AK97" i="1"/>
  <c r="AF97" i="1"/>
  <c r="AE97" i="1"/>
  <c r="Z97" i="1"/>
  <c r="Q97" i="1"/>
  <c r="DP96" i="1"/>
  <c r="CG96" i="1"/>
  <c r="BN96" i="1"/>
  <c r="BF96" i="1"/>
  <c r="BC96" i="1"/>
  <c r="BA96" i="1"/>
  <c r="AM96" i="1"/>
  <c r="AN96" i="1"/>
  <c r="AK96" i="1"/>
  <c r="AF96" i="1"/>
  <c r="AE96" i="1"/>
  <c r="Z96" i="1"/>
  <c r="Q96" i="1"/>
  <c r="DP95" i="1"/>
  <c r="CG95" i="1"/>
  <c r="BN95" i="1"/>
  <c r="BF95" i="1"/>
  <c r="BC95" i="1"/>
  <c r="BA95" i="1"/>
  <c r="AM95" i="1"/>
  <c r="AN95" i="1"/>
  <c r="AK95" i="1"/>
  <c r="AF95" i="1"/>
  <c r="AE95" i="1"/>
  <c r="Z95" i="1"/>
  <c r="Q95" i="1"/>
  <c r="DP94" i="1"/>
  <c r="CG94" i="1"/>
  <c r="BN94" i="1"/>
  <c r="BF94" i="1"/>
  <c r="BC94" i="1"/>
  <c r="BA94" i="1"/>
  <c r="AM94" i="1"/>
  <c r="AN94" i="1"/>
  <c r="AK94" i="1"/>
  <c r="AF94" i="1"/>
  <c r="AE94" i="1"/>
  <c r="Z94" i="1"/>
  <c r="Q94" i="1"/>
  <c r="DP93" i="1"/>
  <c r="CG93" i="1"/>
  <c r="BC93" i="1"/>
  <c r="BA93" i="1"/>
  <c r="AT93" i="1"/>
  <c r="AM93" i="1"/>
  <c r="AN93" i="1"/>
  <c r="AK93" i="1"/>
  <c r="AF93" i="1"/>
  <c r="AE93" i="1"/>
  <c r="Z93" i="1"/>
  <c r="Q93" i="1"/>
  <c r="DP92" i="1"/>
  <c r="CG92" i="1"/>
  <c r="BN92" i="1"/>
  <c r="BF92" i="1"/>
  <c r="BC92" i="1"/>
  <c r="BA92" i="1"/>
  <c r="AN92" i="1"/>
  <c r="AK92" i="1"/>
  <c r="AF92" i="1"/>
  <c r="AE92" i="1"/>
  <c r="DP91" i="1"/>
  <c r="CG91" i="1"/>
  <c r="BN91" i="1"/>
  <c r="BF91" i="1"/>
  <c r="BC91" i="1"/>
  <c r="BA91" i="1"/>
  <c r="AN91" i="1"/>
  <c r="AK91" i="1"/>
  <c r="AF91" i="1"/>
  <c r="AE91" i="1"/>
  <c r="DP90" i="1"/>
  <c r="CG90" i="1"/>
  <c r="BN90" i="1"/>
  <c r="BF90" i="1"/>
  <c r="BC90" i="1"/>
  <c r="BA90" i="1"/>
  <c r="AN90" i="1"/>
  <c r="AK90" i="1"/>
  <c r="AF90" i="1"/>
  <c r="AE90" i="1"/>
  <c r="DP89" i="1"/>
  <c r="CG89" i="1"/>
  <c r="BN89" i="1"/>
  <c r="BF89" i="1"/>
  <c r="BC89" i="1"/>
  <c r="BA89" i="1"/>
  <c r="AN89" i="1"/>
  <c r="AK89" i="1"/>
  <c r="AF89" i="1"/>
  <c r="AE89" i="1"/>
  <c r="DP88" i="1"/>
  <c r="CG88" i="1"/>
  <c r="BN88" i="1"/>
  <c r="BF88" i="1"/>
  <c r="BC88" i="1"/>
  <c r="BA88" i="1"/>
  <c r="AN88" i="1"/>
  <c r="AK88" i="1"/>
  <c r="AF88" i="1"/>
  <c r="AE88" i="1"/>
  <c r="DP87" i="1"/>
  <c r="CG87" i="1"/>
  <c r="BN87" i="1"/>
  <c r="BF87" i="1"/>
  <c r="BC87" i="1"/>
  <c r="BA87" i="1"/>
  <c r="AN87" i="1"/>
  <c r="AK87" i="1"/>
  <c r="AF87" i="1"/>
  <c r="AE87" i="1"/>
  <c r="DP86" i="1"/>
  <c r="CG86" i="1"/>
  <c r="BN86" i="1"/>
  <c r="BF86" i="1"/>
  <c r="BC86" i="1"/>
  <c r="BA86" i="1"/>
  <c r="AN86" i="1"/>
  <c r="AK86" i="1"/>
  <c r="AF86" i="1"/>
  <c r="AE86" i="1"/>
  <c r="DP85" i="1"/>
  <c r="CG85" i="1"/>
  <c r="BN85" i="1"/>
  <c r="BF85" i="1"/>
  <c r="BC85" i="1"/>
  <c r="BA85" i="1"/>
  <c r="AN85" i="1"/>
  <c r="AK85" i="1"/>
  <c r="AF85" i="1"/>
  <c r="AE85" i="1"/>
  <c r="DP84" i="1"/>
  <c r="CG84" i="1"/>
  <c r="BN84" i="1"/>
  <c r="BF84" i="1"/>
  <c r="BC84" i="1"/>
  <c r="BA84" i="1"/>
  <c r="AM84" i="1"/>
  <c r="AN84" i="1"/>
  <c r="AK84" i="1"/>
  <c r="AF84" i="1"/>
  <c r="AE84" i="1"/>
  <c r="DP83" i="1"/>
  <c r="CG83" i="1"/>
  <c r="BN83" i="1"/>
  <c r="BF83" i="1"/>
  <c r="BC83" i="1"/>
  <c r="BA83" i="1"/>
  <c r="AM83" i="1"/>
  <c r="AN83" i="1"/>
  <c r="AK83" i="1"/>
  <c r="AF83" i="1"/>
  <c r="AE83" i="1"/>
  <c r="DP82" i="1"/>
  <c r="CG82" i="1"/>
  <c r="BN82" i="1"/>
  <c r="BF82" i="1"/>
  <c r="BC82" i="1"/>
  <c r="BA82" i="1"/>
  <c r="AM82" i="1"/>
  <c r="AN82" i="1"/>
  <c r="AK82" i="1"/>
  <c r="AF82" i="1"/>
  <c r="AE82" i="1"/>
  <c r="DP81" i="1"/>
  <c r="CG81" i="1"/>
  <c r="BN81" i="1"/>
  <c r="BF81" i="1"/>
  <c r="BC81" i="1"/>
  <c r="BA81" i="1"/>
  <c r="AM81" i="1"/>
  <c r="AN81" i="1"/>
  <c r="AK81" i="1"/>
  <c r="AF81" i="1"/>
  <c r="AE81" i="1"/>
  <c r="DP80" i="1"/>
  <c r="CG80" i="1"/>
  <c r="BC80" i="1"/>
  <c r="BA80" i="1"/>
  <c r="AT80" i="1"/>
  <c r="AM80" i="1"/>
  <c r="AN80" i="1"/>
  <c r="AK80" i="1"/>
  <c r="AF80" i="1"/>
  <c r="AE80" i="1"/>
  <c r="DP79" i="1"/>
  <c r="CG79" i="1"/>
  <c r="BN79" i="1"/>
  <c r="BF79" i="1"/>
  <c r="BC79" i="1"/>
  <c r="BA79" i="1"/>
  <c r="AM79" i="1"/>
  <c r="AN79" i="1"/>
  <c r="AK79" i="1"/>
  <c r="Z79" i="1"/>
  <c r="DP78" i="1"/>
  <c r="CG78" i="1"/>
  <c r="BN78" i="1"/>
  <c r="BF78" i="1"/>
  <c r="BC78" i="1"/>
  <c r="BA78" i="1"/>
  <c r="AM78" i="1"/>
  <c r="AN78" i="1"/>
  <c r="AK78" i="1"/>
  <c r="Z78" i="1"/>
  <c r="DP77" i="1"/>
  <c r="CG77" i="1"/>
  <c r="BN77" i="1"/>
  <c r="BF77" i="1"/>
  <c r="BC77" i="1"/>
  <c r="BA77" i="1"/>
  <c r="AM77" i="1"/>
  <c r="AN77" i="1"/>
  <c r="AK77" i="1"/>
  <c r="Z77" i="1"/>
  <c r="DP76" i="1"/>
  <c r="CG76" i="1"/>
  <c r="BN76" i="1"/>
  <c r="BF76" i="1"/>
  <c r="BC76" i="1"/>
  <c r="BA76" i="1"/>
  <c r="AM76" i="1"/>
  <c r="AN76" i="1"/>
  <c r="AK76" i="1"/>
  <c r="Z76" i="1"/>
  <c r="DP75" i="1"/>
  <c r="CG75" i="1"/>
  <c r="BN75" i="1"/>
  <c r="BF75" i="1"/>
  <c r="BC75" i="1"/>
  <c r="BA75" i="1"/>
  <c r="AM75" i="1"/>
  <c r="AN75" i="1"/>
  <c r="AK75" i="1"/>
  <c r="Z75" i="1"/>
  <c r="DP74" i="1"/>
  <c r="CG74" i="1"/>
  <c r="BN74" i="1"/>
  <c r="BF74" i="1"/>
  <c r="BC74" i="1"/>
  <c r="BA74" i="1"/>
  <c r="AM74" i="1"/>
  <c r="AN74" i="1"/>
  <c r="AK74" i="1"/>
  <c r="Z74" i="1"/>
  <c r="DP73" i="1"/>
  <c r="CG73" i="1"/>
  <c r="BN73" i="1"/>
  <c r="BF73" i="1"/>
  <c r="BC73" i="1"/>
  <c r="BA73" i="1"/>
  <c r="AM73" i="1"/>
  <c r="AN73" i="1"/>
  <c r="AK73" i="1"/>
  <c r="Z73" i="1"/>
  <c r="DP72" i="1"/>
  <c r="CG72" i="1"/>
  <c r="BN72" i="1"/>
  <c r="BF72" i="1"/>
  <c r="BC72" i="1"/>
  <c r="BA72" i="1"/>
  <c r="AM72" i="1"/>
  <c r="AN72" i="1"/>
  <c r="AK72" i="1"/>
  <c r="Z72" i="1"/>
  <c r="DP71" i="1"/>
  <c r="CG71" i="1"/>
  <c r="BN71" i="1"/>
  <c r="BF71" i="1"/>
  <c r="BC71" i="1"/>
  <c r="BA71" i="1"/>
  <c r="AM71" i="1"/>
  <c r="AN71" i="1"/>
  <c r="AK71" i="1"/>
  <c r="Z71" i="1"/>
  <c r="DP70" i="1"/>
  <c r="CG70" i="1"/>
  <c r="BN70" i="1"/>
  <c r="BF70" i="1"/>
  <c r="BC70" i="1"/>
  <c r="BA70" i="1"/>
  <c r="AM70" i="1"/>
  <c r="AN70" i="1"/>
  <c r="AK70" i="1"/>
  <c r="Z70" i="1"/>
  <c r="DP69" i="1"/>
  <c r="CG69" i="1"/>
  <c r="BN69" i="1"/>
  <c r="BF69" i="1"/>
  <c r="BC69" i="1"/>
  <c r="BA69" i="1"/>
  <c r="AN69" i="1"/>
  <c r="AK69" i="1"/>
  <c r="Z69" i="1"/>
  <c r="DP68" i="1"/>
  <c r="CG68" i="1"/>
  <c r="BN68" i="1"/>
  <c r="BF68" i="1"/>
  <c r="BC68" i="1"/>
  <c r="BA68" i="1"/>
  <c r="AN68" i="1"/>
  <c r="AK68" i="1"/>
  <c r="Z68" i="1"/>
  <c r="DP67" i="1"/>
  <c r="CG67" i="1"/>
  <c r="BC67" i="1"/>
  <c r="BA67" i="1"/>
  <c r="AT67" i="1"/>
  <c r="AN67" i="1"/>
  <c r="AK67" i="1"/>
  <c r="Z67" i="1"/>
  <c r="DP66" i="1"/>
  <c r="CG66" i="1"/>
  <c r="BN66" i="1"/>
  <c r="BF66" i="1"/>
  <c r="BC66" i="1"/>
  <c r="BA66" i="1"/>
  <c r="AM66" i="1"/>
  <c r="AN66" i="1"/>
  <c r="AK66" i="1"/>
  <c r="Z66" i="1"/>
  <c r="Q66" i="1"/>
  <c r="DP65" i="1"/>
  <c r="CG65" i="1"/>
  <c r="BN65" i="1"/>
  <c r="BF65" i="1"/>
  <c r="BC65" i="1"/>
  <c r="BA65" i="1"/>
  <c r="AM65" i="1"/>
  <c r="AN65" i="1"/>
  <c r="AK65" i="1"/>
  <c r="Z65" i="1"/>
  <c r="Q65" i="1"/>
  <c r="DP64" i="1"/>
  <c r="CG64" i="1"/>
  <c r="BN64" i="1"/>
  <c r="BF64" i="1"/>
  <c r="BC64" i="1"/>
  <c r="BA64" i="1"/>
  <c r="AM64" i="1"/>
  <c r="AN64" i="1"/>
  <c r="AK64" i="1"/>
  <c r="Z64" i="1"/>
  <c r="Q64" i="1"/>
  <c r="DP63" i="1"/>
  <c r="CG63" i="1"/>
  <c r="BN63" i="1"/>
  <c r="BF63" i="1"/>
  <c r="BC63" i="1"/>
  <c r="BA63" i="1"/>
  <c r="AM63" i="1"/>
  <c r="AN63" i="1"/>
  <c r="AK63" i="1"/>
  <c r="Z63" i="1"/>
  <c r="Q63" i="1"/>
  <c r="DP62" i="1"/>
  <c r="CG62" i="1"/>
  <c r="BN62" i="1"/>
  <c r="BF62" i="1"/>
  <c r="BC62" i="1"/>
  <c r="BA62" i="1"/>
  <c r="AM62" i="1"/>
  <c r="AN62" i="1"/>
  <c r="AK62" i="1"/>
  <c r="Z62" i="1"/>
  <c r="Q62" i="1"/>
  <c r="DP61" i="1"/>
  <c r="CG61" i="1"/>
  <c r="BN61" i="1"/>
  <c r="BF61" i="1"/>
  <c r="BC61" i="1"/>
  <c r="BA61" i="1"/>
  <c r="AM61" i="1"/>
  <c r="AN61" i="1"/>
  <c r="AK61" i="1"/>
  <c r="Z61" i="1"/>
  <c r="Q61" i="1"/>
  <c r="DP60" i="1"/>
  <c r="CG60" i="1"/>
  <c r="BN60" i="1"/>
  <c r="BF60" i="1"/>
  <c r="BC60" i="1"/>
  <c r="BA60" i="1"/>
  <c r="AM60" i="1"/>
  <c r="AN60" i="1"/>
  <c r="AK60" i="1"/>
  <c r="Z60" i="1"/>
  <c r="Q60" i="1"/>
  <c r="DP59" i="1"/>
  <c r="CG59" i="1"/>
  <c r="BN59" i="1"/>
  <c r="BF59" i="1"/>
  <c r="BC59" i="1"/>
  <c r="BA59" i="1"/>
  <c r="AM59" i="1"/>
  <c r="AN59" i="1"/>
  <c r="AK59" i="1"/>
  <c r="Z59" i="1"/>
  <c r="Q59" i="1"/>
  <c r="DP58" i="1"/>
  <c r="CG58" i="1"/>
  <c r="BN58" i="1"/>
  <c r="BF58" i="1"/>
  <c r="BC58" i="1"/>
  <c r="BA58" i="1"/>
  <c r="AM58" i="1"/>
  <c r="AN58" i="1"/>
  <c r="AK58" i="1"/>
  <c r="Z58" i="1"/>
  <c r="Q58" i="1"/>
  <c r="DP57" i="1"/>
  <c r="CG57" i="1"/>
  <c r="BN57" i="1"/>
  <c r="BF57" i="1"/>
  <c r="BC57" i="1"/>
  <c r="BA57" i="1"/>
  <c r="AM57" i="1"/>
  <c r="AN57" i="1"/>
  <c r="AK57" i="1"/>
  <c r="Z57" i="1"/>
  <c r="Q57" i="1"/>
  <c r="DP56" i="1"/>
  <c r="CG56" i="1"/>
  <c r="BN56" i="1"/>
  <c r="BF56" i="1"/>
  <c r="BC56" i="1"/>
  <c r="BA56" i="1"/>
  <c r="AN56" i="1"/>
  <c r="AJ56" i="1"/>
  <c r="AK56" i="1"/>
  <c r="Z56" i="1"/>
  <c r="Q56" i="1"/>
  <c r="DP55" i="1"/>
  <c r="CG55" i="1"/>
  <c r="BN55" i="1"/>
  <c r="BF55" i="1"/>
  <c r="BC55" i="1"/>
  <c r="BA55" i="1"/>
  <c r="AN55" i="1"/>
  <c r="AJ55" i="1"/>
  <c r="AK55" i="1"/>
  <c r="Z55" i="1"/>
  <c r="Q55" i="1"/>
  <c r="DP54" i="1"/>
  <c r="CG54" i="1"/>
  <c r="BC54" i="1"/>
  <c r="BA54" i="1"/>
  <c r="AT54" i="1"/>
  <c r="AN54" i="1"/>
  <c r="AK54" i="1"/>
  <c r="Z54" i="1"/>
  <c r="Q54" i="1"/>
  <c r="DP53" i="1"/>
  <c r="CG53" i="1"/>
  <c r="BN53" i="1"/>
  <c r="BF53" i="1"/>
  <c r="BC53" i="1"/>
  <c r="BA53" i="1"/>
  <c r="AM53" i="1"/>
  <c r="AN53" i="1"/>
  <c r="AK53" i="1"/>
  <c r="Z53" i="1"/>
  <c r="Q53" i="1"/>
  <c r="DP52" i="1"/>
  <c r="CG52" i="1"/>
  <c r="BN52" i="1"/>
  <c r="BF52" i="1"/>
  <c r="BC52" i="1"/>
  <c r="BA52" i="1"/>
  <c r="AM52" i="1"/>
  <c r="AN52" i="1"/>
  <c r="AK52" i="1"/>
  <c r="Z52" i="1"/>
  <c r="Q52" i="1"/>
  <c r="DP51" i="1"/>
  <c r="CG51" i="1"/>
  <c r="BN51" i="1"/>
  <c r="BF51" i="1"/>
  <c r="BC51" i="1"/>
  <c r="BA51" i="1"/>
  <c r="AM51" i="1"/>
  <c r="AN51" i="1"/>
  <c r="AK51" i="1"/>
  <c r="Z51" i="1"/>
  <c r="Q51" i="1"/>
  <c r="DP50" i="1"/>
  <c r="CG50" i="1"/>
  <c r="BN50" i="1"/>
  <c r="BF50" i="1"/>
  <c r="BC50" i="1"/>
  <c r="BA50" i="1"/>
  <c r="AM50" i="1"/>
  <c r="AN50" i="1"/>
  <c r="AK50" i="1"/>
  <c r="Z50" i="1"/>
  <c r="Q50" i="1"/>
  <c r="DP49" i="1"/>
  <c r="CG49" i="1"/>
  <c r="BN49" i="1"/>
  <c r="BF49" i="1"/>
  <c r="BC49" i="1"/>
  <c r="BA49" i="1"/>
  <c r="AM49" i="1"/>
  <c r="AN49" i="1"/>
  <c r="AK49" i="1"/>
  <c r="Q49" i="1"/>
  <c r="DP48" i="1"/>
  <c r="CG48" i="1"/>
  <c r="BN48" i="1"/>
  <c r="BF48" i="1"/>
  <c r="BC48" i="1"/>
  <c r="BA48" i="1"/>
  <c r="AM48" i="1"/>
  <c r="AN48" i="1"/>
  <c r="AK48" i="1"/>
  <c r="Q48" i="1"/>
  <c r="DP47" i="1"/>
  <c r="CG47" i="1"/>
  <c r="BN47" i="1"/>
  <c r="BF47" i="1"/>
  <c r="BC47" i="1"/>
  <c r="BA47" i="1"/>
  <c r="AM47" i="1"/>
  <c r="AN47" i="1"/>
  <c r="AK47" i="1"/>
  <c r="Q47" i="1"/>
  <c r="DP46" i="1"/>
  <c r="CG46" i="1"/>
  <c r="BN46" i="1"/>
  <c r="BF46" i="1"/>
  <c r="BC46" i="1"/>
  <c r="BA46" i="1"/>
  <c r="AM46" i="1"/>
  <c r="AN46" i="1"/>
  <c r="AK46" i="1"/>
  <c r="Q46" i="1"/>
  <c r="DP45" i="1"/>
  <c r="CG45" i="1"/>
  <c r="BN45" i="1"/>
  <c r="BF45" i="1"/>
  <c r="BC45" i="1"/>
  <c r="BA45" i="1"/>
  <c r="AM45" i="1"/>
  <c r="AN45" i="1"/>
  <c r="AK45" i="1"/>
  <c r="Q45" i="1"/>
  <c r="DP44" i="1"/>
  <c r="CG44" i="1"/>
  <c r="BN44" i="1"/>
  <c r="BF44" i="1"/>
  <c r="BC44" i="1"/>
  <c r="BA44" i="1"/>
  <c r="AM44" i="1"/>
  <c r="AN44" i="1"/>
  <c r="AK44" i="1"/>
  <c r="AF44" i="1"/>
  <c r="AE44" i="1"/>
  <c r="Q44" i="1"/>
  <c r="DP43" i="1"/>
  <c r="CG43" i="1"/>
  <c r="BN43" i="1"/>
  <c r="BF43" i="1"/>
  <c r="BC43" i="1"/>
  <c r="BA43" i="1"/>
  <c r="AM43" i="1"/>
  <c r="AN43" i="1"/>
  <c r="AK43" i="1"/>
  <c r="AF43" i="1"/>
  <c r="AE43" i="1"/>
  <c r="Q43" i="1"/>
  <c r="DP42" i="1"/>
  <c r="CG42" i="1"/>
  <c r="BN42" i="1"/>
  <c r="BF42" i="1"/>
  <c r="BC42" i="1"/>
  <c r="BA42" i="1"/>
  <c r="AM42" i="1"/>
  <c r="AN42" i="1"/>
  <c r="AK42" i="1"/>
  <c r="Q42" i="1"/>
  <c r="DP41" i="1"/>
  <c r="CG41" i="1"/>
  <c r="BC41" i="1"/>
  <c r="BA41" i="1"/>
  <c r="AT41" i="1"/>
  <c r="AM41" i="1"/>
  <c r="AN41" i="1"/>
  <c r="AK41" i="1"/>
  <c r="Q41" i="1"/>
  <c r="DP40" i="1"/>
  <c r="CG40" i="1"/>
  <c r="BN40" i="1"/>
  <c r="BF40" i="1"/>
  <c r="BC40" i="1"/>
  <c r="BA40" i="1"/>
  <c r="AM40" i="1"/>
  <c r="AN40" i="1"/>
  <c r="AK40" i="1"/>
  <c r="AF40" i="1"/>
  <c r="AE40" i="1"/>
  <c r="Z40" i="1"/>
  <c r="Q40" i="1"/>
  <c r="DP39" i="1"/>
  <c r="CG39" i="1"/>
  <c r="BN39" i="1"/>
  <c r="BF39" i="1"/>
  <c r="BC39" i="1"/>
  <c r="BA39" i="1"/>
  <c r="AM39" i="1"/>
  <c r="AN39" i="1"/>
  <c r="AK39" i="1"/>
  <c r="AF39" i="1"/>
  <c r="AE39" i="1"/>
  <c r="Z39" i="1"/>
  <c r="Q39" i="1"/>
  <c r="DP38" i="1"/>
  <c r="CG38" i="1"/>
  <c r="BN38" i="1"/>
  <c r="BF38" i="1"/>
  <c r="BC38" i="1"/>
  <c r="BA38" i="1"/>
  <c r="AM38" i="1"/>
  <c r="AN38" i="1"/>
  <c r="AK38" i="1"/>
  <c r="AF38" i="1"/>
  <c r="AE38" i="1"/>
  <c r="Z38" i="1"/>
  <c r="Q38" i="1"/>
  <c r="DP37" i="1"/>
  <c r="CG37" i="1"/>
  <c r="BN37" i="1"/>
  <c r="BF37" i="1"/>
  <c r="BC37" i="1"/>
  <c r="BA37" i="1"/>
  <c r="AM37" i="1"/>
  <c r="AN37" i="1"/>
  <c r="AK37" i="1"/>
  <c r="AF37" i="1"/>
  <c r="AE37" i="1"/>
  <c r="Z37" i="1"/>
  <c r="Q37" i="1"/>
  <c r="DP36" i="1"/>
  <c r="CG36" i="1"/>
  <c r="BN36" i="1"/>
  <c r="BF36" i="1"/>
  <c r="BC36" i="1"/>
  <c r="BA36" i="1"/>
  <c r="AM36" i="1"/>
  <c r="AN36" i="1"/>
  <c r="AK36" i="1"/>
  <c r="AF36" i="1"/>
  <c r="AE36" i="1"/>
  <c r="Z36" i="1"/>
  <c r="Q36" i="1"/>
  <c r="DP35" i="1"/>
  <c r="CG35" i="1"/>
  <c r="BN35" i="1"/>
  <c r="BF35" i="1"/>
  <c r="BC35" i="1"/>
  <c r="BA35" i="1"/>
  <c r="AM35" i="1"/>
  <c r="AN35" i="1"/>
  <c r="AK35" i="1"/>
  <c r="AF35" i="1"/>
  <c r="AE35" i="1"/>
  <c r="Z35" i="1"/>
  <c r="Q35" i="1"/>
  <c r="DP34" i="1"/>
  <c r="CG34" i="1"/>
  <c r="BN34" i="1"/>
  <c r="BF34" i="1"/>
  <c r="BC34" i="1"/>
  <c r="BA34" i="1"/>
  <c r="AM34" i="1"/>
  <c r="AN34" i="1"/>
  <c r="AK34" i="1"/>
  <c r="AF34" i="1"/>
  <c r="AE34" i="1"/>
  <c r="Z34" i="1"/>
  <c r="Q34" i="1"/>
  <c r="DP33" i="1"/>
  <c r="CG33" i="1"/>
  <c r="BN33" i="1"/>
  <c r="BF33" i="1"/>
  <c r="BC33" i="1"/>
  <c r="BA33" i="1"/>
  <c r="AM33" i="1"/>
  <c r="AN33" i="1"/>
  <c r="AK33" i="1"/>
  <c r="AF33" i="1"/>
  <c r="AE33" i="1"/>
  <c r="Z33" i="1"/>
  <c r="Q33" i="1"/>
  <c r="DP32" i="1"/>
  <c r="CG32" i="1"/>
  <c r="BN32" i="1"/>
  <c r="BF32" i="1"/>
  <c r="BC32" i="1"/>
  <c r="BA32" i="1"/>
  <c r="AM32" i="1"/>
  <c r="AN32" i="1"/>
  <c r="AK32" i="1"/>
  <c r="AF32" i="1"/>
  <c r="AE32" i="1"/>
  <c r="Z32" i="1"/>
  <c r="Q32" i="1"/>
  <c r="DP31" i="1"/>
  <c r="CG31" i="1"/>
  <c r="BN31" i="1"/>
  <c r="BF31" i="1"/>
  <c r="BC31" i="1"/>
  <c r="BA31" i="1"/>
  <c r="AM31" i="1"/>
  <c r="AN31" i="1"/>
  <c r="AK31" i="1"/>
  <c r="AF31" i="1"/>
  <c r="AE31" i="1"/>
  <c r="Z31" i="1"/>
  <c r="Q31" i="1"/>
  <c r="DP30" i="1"/>
  <c r="CG30" i="1"/>
  <c r="BN30" i="1"/>
  <c r="BF30" i="1"/>
  <c r="BC30" i="1"/>
  <c r="BA30" i="1"/>
  <c r="AM30" i="1"/>
  <c r="AN30" i="1"/>
  <c r="AK30" i="1"/>
  <c r="AF30" i="1"/>
  <c r="AE30" i="1"/>
  <c r="Q30" i="1"/>
  <c r="DP29" i="1"/>
  <c r="CG29" i="1"/>
  <c r="BN29" i="1"/>
  <c r="BF29" i="1"/>
  <c r="BC29" i="1"/>
  <c r="BA29" i="1"/>
  <c r="AM29" i="1"/>
  <c r="AN29" i="1"/>
  <c r="AK29" i="1"/>
  <c r="AF29" i="1"/>
  <c r="AE29" i="1"/>
  <c r="Q29" i="1"/>
  <c r="DP28" i="1"/>
  <c r="CG28" i="1"/>
  <c r="BC28" i="1"/>
  <c r="BA28" i="1"/>
  <c r="AT28" i="1"/>
  <c r="AM28" i="1"/>
  <c r="AN28" i="1"/>
  <c r="AK28" i="1"/>
  <c r="AF28" i="1"/>
  <c r="AE28" i="1"/>
  <c r="Q28" i="1"/>
  <c r="DP27" i="1"/>
  <c r="CG27" i="1"/>
  <c r="BN27" i="1"/>
  <c r="BF27" i="1"/>
  <c r="BC27" i="1"/>
  <c r="BA27" i="1"/>
  <c r="AM27" i="1"/>
  <c r="AN27" i="1"/>
  <c r="AK27" i="1"/>
  <c r="AE27" i="1"/>
  <c r="Z27" i="1"/>
  <c r="DP26" i="1"/>
  <c r="CG26" i="1"/>
  <c r="BN26" i="1"/>
  <c r="BF26" i="1"/>
  <c r="BC26" i="1"/>
  <c r="BA26" i="1"/>
  <c r="AM26" i="1"/>
  <c r="AN26" i="1"/>
  <c r="AK26" i="1"/>
  <c r="AE26" i="1"/>
  <c r="Z26" i="1"/>
  <c r="DP25" i="1"/>
  <c r="CG25" i="1"/>
  <c r="BN25" i="1"/>
  <c r="BF25" i="1"/>
  <c r="BC25" i="1"/>
  <c r="BA25" i="1"/>
  <c r="AN25" i="1"/>
  <c r="AK25" i="1"/>
  <c r="AE25" i="1"/>
  <c r="Z25" i="1"/>
  <c r="DP24" i="1"/>
  <c r="CG24" i="1"/>
  <c r="BN24" i="1"/>
  <c r="BF24" i="1"/>
  <c r="BC24" i="1"/>
  <c r="BA24" i="1"/>
  <c r="AN24" i="1"/>
  <c r="AK24" i="1"/>
  <c r="AE24" i="1"/>
  <c r="Z24" i="1"/>
  <c r="DP23" i="1"/>
  <c r="CG23" i="1"/>
  <c r="BN23" i="1"/>
  <c r="BF23" i="1"/>
  <c r="BC23" i="1"/>
  <c r="BA23" i="1"/>
  <c r="AM23" i="1"/>
  <c r="AN23" i="1"/>
  <c r="AK23" i="1"/>
  <c r="AE23" i="1"/>
  <c r="Z23" i="1"/>
  <c r="DP22" i="1"/>
  <c r="CG22" i="1"/>
  <c r="BN22" i="1"/>
  <c r="BF22" i="1"/>
  <c r="BC22" i="1"/>
  <c r="BA22" i="1"/>
  <c r="AM22" i="1"/>
  <c r="AN22" i="1"/>
  <c r="AK22" i="1"/>
  <c r="AE22" i="1"/>
  <c r="Z22" i="1"/>
  <c r="DP21" i="1"/>
  <c r="CG21" i="1"/>
  <c r="BN21" i="1"/>
  <c r="BF21" i="1"/>
  <c r="BC21" i="1"/>
  <c r="BA21" i="1"/>
  <c r="AM21" i="1"/>
  <c r="AN21" i="1"/>
  <c r="AK21" i="1"/>
  <c r="AE21" i="1"/>
  <c r="Z21" i="1"/>
  <c r="DP20" i="1"/>
  <c r="CG20" i="1"/>
  <c r="BN20" i="1"/>
  <c r="BF20" i="1"/>
  <c r="BC20" i="1"/>
  <c r="BA20" i="1"/>
  <c r="AN20" i="1"/>
  <c r="AK20" i="1"/>
  <c r="AE20" i="1"/>
  <c r="Z20" i="1"/>
  <c r="DP19" i="1"/>
  <c r="CG19" i="1"/>
  <c r="BN19" i="1"/>
  <c r="BF19" i="1"/>
  <c r="BC19" i="1"/>
  <c r="BA19" i="1"/>
  <c r="AN19" i="1"/>
  <c r="AK19" i="1"/>
  <c r="AF19" i="1"/>
  <c r="AE19" i="1"/>
  <c r="Z19" i="1"/>
  <c r="DP18" i="1"/>
  <c r="CG18" i="1"/>
  <c r="BN18" i="1"/>
  <c r="BF18" i="1"/>
  <c r="BC18" i="1"/>
  <c r="BA18" i="1"/>
  <c r="AN18" i="1"/>
  <c r="AK18" i="1"/>
  <c r="AF18" i="1"/>
  <c r="AE18" i="1"/>
  <c r="Z18" i="1"/>
  <c r="DP17" i="1"/>
  <c r="CG17" i="1"/>
  <c r="BN17" i="1"/>
  <c r="BF17" i="1"/>
  <c r="BC17" i="1"/>
  <c r="BA17" i="1"/>
  <c r="AN17" i="1"/>
  <c r="AK17" i="1"/>
  <c r="AF17" i="1"/>
  <c r="AE17" i="1"/>
  <c r="Z17" i="1"/>
  <c r="DP16" i="1"/>
  <c r="CG16" i="1"/>
  <c r="BN16" i="1"/>
  <c r="BF16" i="1"/>
  <c r="BC16" i="1"/>
  <c r="BA16" i="1"/>
  <c r="AN16" i="1"/>
  <c r="AK16" i="1"/>
  <c r="AF16" i="1"/>
  <c r="AE16" i="1"/>
  <c r="Z16" i="1"/>
  <c r="DP15" i="1"/>
  <c r="CG15" i="1"/>
  <c r="BC15" i="1"/>
  <c r="BA15" i="1"/>
  <c r="AT15" i="1"/>
  <c r="AN15" i="1"/>
  <c r="AK15" i="1"/>
  <c r="AF15" i="1"/>
  <c r="AE15" i="1"/>
  <c r="Z15" i="1"/>
  <c r="CG14" i="1"/>
  <c r="BN14" i="1"/>
  <c r="BF14" i="1"/>
  <c r="BC14" i="1"/>
  <c r="BA14" i="1"/>
  <c r="AM14" i="1"/>
  <c r="AN14" i="1"/>
  <c r="AF14" i="1"/>
  <c r="AE14" i="1"/>
  <c r="Z14" i="1"/>
  <c r="Q14" i="1"/>
  <c r="CG13" i="1"/>
  <c r="BN13" i="1"/>
  <c r="BF13" i="1"/>
  <c r="BC13" i="1"/>
  <c r="BA13" i="1"/>
  <c r="AM13" i="1"/>
  <c r="AN13" i="1"/>
  <c r="AF13" i="1"/>
  <c r="AE13" i="1"/>
  <c r="Z13" i="1"/>
  <c r="V13" i="1"/>
  <c r="Q13" i="1"/>
  <c r="CG12" i="1"/>
  <c r="BN12" i="1"/>
  <c r="BF12" i="1"/>
  <c r="BC12" i="1"/>
  <c r="BA12" i="1"/>
  <c r="AM12" i="1"/>
  <c r="AN12" i="1"/>
  <c r="AF12" i="1"/>
  <c r="AE12" i="1"/>
  <c r="Z12" i="1"/>
  <c r="Q12" i="1"/>
  <c r="CG11" i="1"/>
  <c r="BN11" i="1"/>
  <c r="BF11" i="1"/>
  <c r="BC11" i="1"/>
  <c r="BA11" i="1"/>
  <c r="AM11" i="1"/>
  <c r="AN11" i="1"/>
  <c r="AF11" i="1"/>
  <c r="AE11" i="1"/>
  <c r="Z11" i="1"/>
  <c r="Q11" i="1"/>
  <c r="CG10" i="1"/>
  <c r="BN10" i="1"/>
  <c r="BF10" i="1"/>
  <c r="BC10" i="1"/>
  <c r="BA10" i="1"/>
  <c r="AM10" i="1"/>
  <c r="AN10" i="1"/>
  <c r="AF10" i="1"/>
  <c r="AE10" i="1"/>
  <c r="Z10" i="1"/>
  <c r="Q10" i="1"/>
  <c r="CG9" i="1"/>
  <c r="BN9" i="1"/>
  <c r="BF9" i="1"/>
  <c r="BC9" i="1"/>
  <c r="BA9" i="1"/>
  <c r="AM9" i="1"/>
  <c r="AN9" i="1"/>
  <c r="AF9" i="1"/>
  <c r="AE9" i="1"/>
  <c r="Z9" i="1"/>
  <c r="Q9" i="1"/>
  <c r="CG8" i="1"/>
  <c r="BN8" i="1"/>
  <c r="BF8" i="1"/>
  <c r="BC8" i="1"/>
  <c r="BA8" i="1"/>
  <c r="AM8" i="1"/>
  <c r="AN8" i="1"/>
  <c r="AF8" i="1"/>
  <c r="AE8" i="1"/>
  <c r="Z8" i="1"/>
  <c r="Q8" i="1"/>
  <c r="CG7" i="1"/>
  <c r="BN7" i="1"/>
  <c r="BF7" i="1"/>
  <c r="BC7" i="1"/>
  <c r="BA7" i="1"/>
  <c r="AM7" i="1"/>
  <c r="AN7" i="1"/>
  <c r="AF7" i="1"/>
  <c r="AE7" i="1"/>
  <c r="Z7" i="1"/>
  <c r="Q7" i="1"/>
  <c r="CG6" i="1"/>
  <c r="BN6" i="1"/>
  <c r="BF6" i="1"/>
  <c r="BC6" i="1"/>
  <c r="BA6" i="1"/>
  <c r="AM6" i="1"/>
  <c r="AN6" i="1"/>
  <c r="AF6" i="1"/>
  <c r="AE6" i="1"/>
  <c r="Z6" i="1"/>
  <c r="Q6" i="1"/>
  <c r="CG5" i="1"/>
  <c r="BN5" i="1"/>
  <c r="BF5" i="1"/>
  <c r="BC5" i="1"/>
  <c r="BA5" i="1"/>
  <c r="AM5" i="1"/>
  <c r="AN5" i="1"/>
  <c r="AF5" i="1"/>
  <c r="AE5" i="1"/>
  <c r="Z5" i="1"/>
  <c r="Q5" i="1"/>
  <c r="CG4" i="1"/>
  <c r="BN4" i="1"/>
  <c r="BF4" i="1"/>
  <c r="BC4" i="1"/>
  <c r="BA4" i="1"/>
  <c r="AM4" i="1"/>
  <c r="AN4" i="1"/>
  <c r="AF4" i="1"/>
  <c r="AE4" i="1"/>
  <c r="Z4" i="1"/>
  <c r="Q4" i="1"/>
  <c r="CG3" i="1"/>
  <c r="BN3" i="1"/>
  <c r="BF3" i="1"/>
  <c r="BC3" i="1"/>
  <c r="BA3" i="1"/>
  <c r="AM3" i="1"/>
  <c r="AN3" i="1"/>
  <c r="AF3" i="1"/>
  <c r="AE3" i="1"/>
  <c r="Z3" i="1"/>
  <c r="Q3" i="1"/>
  <c r="CG2" i="1"/>
  <c r="BC2" i="1"/>
  <c r="BA2" i="1"/>
  <c r="AT2" i="1"/>
  <c r="AM2" i="1"/>
  <c r="AN2" i="1"/>
  <c r="AF2" i="1"/>
  <c r="AE2" i="1"/>
  <c r="Z2" i="1"/>
  <c r="Q2" i="1"/>
</calcChain>
</file>

<file path=xl/sharedStrings.xml><?xml version="1.0" encoding="utf-8"?>
<sst xmlns="http://schemas.openxmlformats.org/spreadsheetml/2006/main" count="1120" uniqueCount="173">
  <si>
    <t>Nom</t>
  </si>
  <si>
    <t>Annees</t>
  </si>
  <si>
    <t>ind</t>
  </si>
  <si>
    <t>secteur</t>
  </si>
  <si>
    <t>Nationalité</t>
  </si>
  <si>
    <t>derives</t>
  </si>
  <si>
    <t>log(derives)</t>
  </si>
  <si>
    <t>forwards</t>
  </si>
  <si>
    <t>options</t>
  </si>
  <si>
    <t>swaps</t>
  </si>
  <si>
    <t>AutreDeriv</t>
  </si>
  <si>
    <t>deriv/actif</t>
  </si>
  <si>
    <t>Pays_Présence</t>
  </si>
  <si>
    <t>Pays_Production</t>
  </si>
  <si>
    <t>Dispersion</t>
  </si>
  <si>
    <t>ProxyDiversifGeo</t>
  </si>
  <si>
    <t>MoyenneProxy</t>
  </si>
  <si>
    <t>Pays</t>
  </si>
  <si>
    <t>régions</t>
  </si>
  <si>
    <t>CA_hors_Europe</t>
  </si>
  <si>
    <t>Log_CAHorsEU</t>
  </si>
  <si>
    <t>Employés_Hors_EU</t>
  </si>
  <si>
    <t>log(Employés_hors_EU</t>
  </si>
  <si>
    <t>EmployésHorsEU/Total</t>
  </si>
  <si>
    <t>prop_Actifsétr</t>
  </si>
  <si>
    <t>Log(PropActif_étr)</t>
  </si>
  <si>
    <t>Prop_Investétr</t>
  </si>
  <si>
    <t>CapExp_étr</t>
  </si>
  <si>
    <t>ActifsNonCourant_étr</t>
  </si>
  <si>
    <t>Dettes_etr</t>
  </si>
  <si>
    <t>Dettes_etr/Actif</t>
  </si>
  <si>
    <t>Log(Dettes_étr)</t>
  </si>
  <si>
    <t>R&amp;D/Actif</t>
  </si>
  <si>
    <t>R&amp;D</t>
  </si>
  <si>
    <t>Market-to-Book</t>
  </si>
  <si>
    <t>TotEmployes</t>
  </si>
  <si>
    <t>log(totemployes)</t>
  </si>
  <si>
    <t>Prop_CAhorsEU</t>
  </si>
  <si>
    <t>Dettes</t>
  </si>
  <si>
    <t>Dettes/Actif</t>
  </si>
  <si>
    <t>NetProfit/CA</t>
  </si>
  <si>
    <t>Vol(ProfitNet/CA)</t>
  </si>
  <si>
    <t>log(Vol_ProfitNet/CA)</t>
  </si>
  <si>
    <t>Actif</t>
  </si>
  <si>
    <t>log(Actif)</t>
  </si>
  <si>
    <t>LagLog(Actif)</t>
  </si>
  <si>
    <t>ratioEndet</t>
  </si>
  <si>
    <t>RatioFinEndet</t>
  </si>
  <si>
    <t>marketcap</t>
  </si>
  <si>
    <t>lag(marketcap)</t>
  </si>
  <si>
    <t>GroupeMarketCap</t>
  </si>
  <si>
    <t>CA</t>
  </si>
  <si>
    <t>log(CA)</t>
  </si>
  <si>
    <t>cout_ventes</t>
  </si>
  <si>
    <t>log(couts)</t>
  </si>
  <si>
    <t>marge_brute</t>
  </si>
  <si>
    <t xml:space="preserve">ProfitNet </t>
  </si>
  <si>
    <t>Vol(ProfitNet)</t>
  </si>
  <si>
    <t>VariationProfitNet</t>
  </si>
  <si>
    <t>ROA</t>
  </si>
  <si>
    <t>LagROA</t>
  </si>
  <si>
    <t>Vol_ROA</t>
  </si>
  <si>
    <t>Variation_ROA</t>
  </si>
  <si>
    <t>Lag_ProfitNet</t>
  </si>
  <si>
    <t>CFOp</t>
  </si>
  <si>
    <t>Vol_CFOp</t>
  </si>
  <si>
    <t>LogCFOp</t>
  </si>
  <si>
    <t>CFOp/CA</t>
  </si>
  <si>
    <t>Vol_CFOp/CA</t>
  </si>
  <si>
    <t>LagVolCFOp/CA</t>
  </si>
  <si>
    <t>CFInvest</t>
  </si>
  <si>
    <t>Log(CFInvest)</t>
  </si>
  <si>
    <t>CFInvestAbsolu/Actif</t>
  </si>
  <si>
    <t>CFFinCFOp</t>
  </si>
  <si>
    <t>DettesFin</t>
  </si>
  <si>
    <t>SharePrice</t>
  </si>
  <si>
    <t>Log(SharePrice)</t>
  </si>
  <si>
    <t>Variation(SharePrice)</t>
  </si>
  <si>
    <t>Vol_MonnaiePartic</t>
  </si>
  <si>
    <t>Vol_MonnaiesParticX100</t>
  </si>
  <si>
    <t>Log(VolMonnaiesX100)</t>
  </si>
  <si>
    <t>LagVolMonnaies</t>
  </si>
  <si>
    <t>LeadVolMonnaies</t>
  </si>
  <si>
    <t>RisqueFirme</t>
  </si>
  <si>
    <t>LnRisqueFirme</t>
  </si>
  <si>
    <t>VIX_FinPériode</t>
  </si>
  <si>
    <t>LagVIX</t>
  </si>
  <si>
    <t>LogVIXFinPériode</t>
  </si>
  <si>
    <t>LogLagVIX</t>
  </si>
  <si>
    <t>VariationVIXFinPeriode</t>
  </si>
  <si>
    <t>MoyenneVIXHIGHAnnée_t</t>
  </si>
  <si>
    <t>VariationMoyenneVIXHigh</t>
  </si>
  <si>
    <t>EUVIX_Moyenne</t>
  </si>
  <si>
    <t>VarianceEUVIX</t>
  </si>
  <si>
    <t>MOVE_Moyenne</t>
  </si>
  <si>
    <t>Variation_Move</t>
  </si>
  <si>
    <t>IIMA_World_MoyenneAnnée</t>
  </si>
  <si>
    <t>Lag_IIMAWorld_MoyenneAnnée</t>
  </si>
  <si>
    <t>Variation_IIMAWorld</t>
  </si>
  <si>
    <t>IIMA_MoyDeveloped</t>
  </si>
  <si>
    <t>IIMA_MoyDevelopedX100</t>
  </si>
  <si>
    <t>IIMAWorldFinAnnée</t>
  </si>
  <si>
    <t>Lag_IIMAWorldFinAnnée</t>
  </si>
  <si>
    <t>VSTOXX</t>
  </si>
  <si>
    <t>Variation_VSTOXX</t>
  </si>
  <si>
    <t>STD_FXEuroWeighted</t>
  </si>
  <si>
    <t>STD_LagFXEuroWeighted</t>
  </si>
  <si>
    <t>SovereignNotation</t>
  </si>
  <si>
    <t>YieldCurve</t>
  </si>
  <si>
    <t>GDPPriceDeflat</t>
  </si>
  <si>
    <t>ln(GDP)</t>
  </si>
  <si>
    <t>CoreInflationIndex</t>
  </si>
  <si>
    <t>Export</t>
  </si>
  <si>
    <t>LTRealInt</t>
  </si>
  <si>
    <t>LTRealREU</t>
  </si>
  <si>
    <t>STD_GBPCHFEUR</t>
  </si>
  <si>
    <t>USD/EURCHF_FinPériode</t>
  </si>
  <si>
    <t>Lag_Fin période</t>
  </si>
  <si>
    <t>Variance_Lag_FinPeriode</t>
  </si>
  <si>
    <t>Variance_USD/EURCHF_FinPeriode</t>
  </si>
  <si>
    <t>MaxMinEURCHFUSD</t>
  </si>
  <si>
    <t>STD_EURCHF/USD</t>
  </si>
  <si>
    <t>LeadSTD_EURCHF/USD</t>
  </si>
  <si>
    <t>LagSTDR_EURCHF/USD</t>
  </si>
  <si>
    <t>ChomageUS(%popactive)</t>
  </si>
  <si>
    <t>YieldCurve_UK</t>
  </si>
  <si>
    <t>YieldCurve_US</t>
  </si>
  <si>
    <t>GDP_US</t>
  </si>
  <si>
    <t>GDP_UK</t>
  </si>
  <si>
    <t>LTRealRUK</t>
  </si>
  <si>
    <t>LTRealRUS</t>
  </si>
  <si>
    <t>CoreInflUS</t>
  </si>
  <si>
    <t>ABInBev</t>
  </si>
  <si>
    <t>Biens de consommation</t>
  </si>
  <si>
    <t>Consumer Staples</t>
  </si>
  <si>
    <t>belge</t>
  </si>
  <si>
    <t>ASML</t>
  </si>
  <si>
    <t>Machines</t>
  </si>
  <si>
    <t>Technology</t>
  </si>
  <si>
    <t>Néerlandais</t>
  </si>
  <si>
    <t>Bayer</t>
  </si>
  <si>
    <t>Pharmacie</t>
  </si>
  <si>
    <t>Healthcare</t>
  </si>
  <si>
    <t>Allemand</t>
  </si>
  <si>
    <t>Danone</t>
  </si>
  <si>
    <t>Français</t>
  </si>
  <si>
    <t>Deutsche Post</t>
  </si>
  <si>
    <t>Services</t>
  </si>
  <si>
    <t>Industrials</t>
  </si>
  <si>
    <t>Eon</t>
  </si>
  <si>
    <t>Energie</t>
  </si>
  <si>
    <t>Utilities</t>
  </si>
  <si>
    <t>Enel</t>
  </si>
  <si>
    <t>Italie</t>
  </si>
  <si>
    <t>L'Oréal</t>
  </si>
  <si>
    <t>Nokia</t>
  </si>
  <si>
    <t>Finlandais</t>
  </si>
  <si>
    <t>Sanofi</t>
  </si>
  <si>
    <t>Repsol</t>
  </si>
  <si>
    <t>Energy</t>
  </si>
  <si>
    <t>Espagnol</t>
  </si>
  <si>
    <t>Telefonica</t>
  </si>
  <si>
    <t>Communications</t>
  </si>
  <si>
    <t>Total</t>
  </si>
  <si>
    <t>Vinci</t>
  </si>
  <si>
    <t>Construction</t>
  </si>
  <si>
    <t>Vivendi</t>
  </si>
  <si>
    <t>Volkswagen</t>
  </si>
  <si>
    <t xml:space="preserve">Consumer Discretionary </t>
  </si>
  <si>
    <t>Nestlé</t>
  </si>
  <si>
    <t>Suisse</t>
  </si>
  <si>
    <t>Areva</t>
  </si>
  <si>
    <t>Novartis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</si>
</sst>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3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FF0000"/>
      <name val="Calibri"/>
      <scheme val="minor"/>
    </font>
    <font>
      <b/>
      <sz val="14"/>
      <color theme="5" tint="-0.249977111117893"/>
      <name val="Calibri"/>
      <scheme val="minor"/>
    </font>
    <font>
      <b/>
      <sz val="14"/>
      <color theme="5" tint="0.39997558519241921"/>
      <name val="Calibri"/>
      <scheme val="minor"/>
    </font>
    <font>
      <b/>
      <sz val="14"/>
      <color theme="5"/>
      <name val="Calibri"/>
      <scheme val="minor"/>
    </font>
    <font>
      <b/>
      <sz val="14"/>
      <color theme="8" tint="-0.249977111117893"/>
      <name val="Calibri"/>
      <scheme val="minor"/>
    </font>
    <font>
      <b/>
      <sz val="14"/>
      <color rgb="FF0000FF"/>
      <name val="Calibri"/>
      <scheme val="minor"/>
    </font>
    <font>
      <b/>
      <sz val="12"/>
      <color rgb="FF0000FF"/>
      <name val="Calibri"/>
      <scheme val="minor"/>
    </font>
    <font>
      <b/>
      <sz val="14"/>
      <color theme="1"/>
      <name val="Calibri"/>
      <scheme val="minor"/>
    </font>
    <font>
      <b/>
      <sz val="14"/>
      <color rgb="FF000000"/>
      <name val="Calibri"/>
      <scheme val="minor"/>
    </font>
    <font>
      <sz val="14.4"/>
      <color theme="5" tint="-0.249977111117893"/>
      <name val="Calibri"/>
      <scheme val="minor"/>
    </font>
    <font>
      <sz val="13"/>
      <color theme="5" tint="-0.249977111117893"/>
      <name val="Calibri"/>
      <scheme val="minor"/>
    </font>
    <font>
      <sz val="12"/>
      <color theme="5" tint="-0.249977111117893"/>
      <name val="Calibri"/>
      <scheme val="minor"/>
    </font>
    <font>
      <sz val="12"/>
      <color theme="5" tint="0.39997558519241921"/>
      <name val="Calibri"/>
      <scheme val="minor"/>
    </font>
    <font>
      <sz val="14.4"/>
      <color theme="5" tint="0.39997558519241921"/>
      <name val="Calibri"/>
      <scheme val="minor"/>
    </font>
    <font>
      <sz val="13"/>
      <color theme="5" tint="0.39997558519241921"/>
      <name val="Calibri"/>
      <scheme val="minor"/>
    </font>
    <font>
      <sz val="13"/>
      <color theme="5"/>
      <name val="Calibri"/>
      <scheme val="minor"/>
    </font>
    <font>
      <sz val="13"/>
      <color theme="8" tint="-0.249977111117893"/>
      <name val="Calibri"/>
      <scheme val="minor"/>
    </font>
    <font>
      <sz val="12"/>
      <color theme="8" tint="-0.249977111117893"/>
      <name val="Calibri"/>
      <scheme val="minor"/>
    </font>
    <font>
      <sz val="14.4"/>
      <color theme="8" tint="-0.249977111117893"/>
      <name val="Calibri"/>
      <scheme val="minor"/>
    </font>
    <font>
      <sz val="13"/>
      <color rgb="FF0000FF"/>
      <name val="Calibri"/>
      <scheme val="minor"/>
    </font>
    <font>
      <sz val="12"/>
      <color rgb="FF0000FF"/>
      <name val="Calibri"/>
      <scheme val="minor"/>
    </font>
    <font>
      <sz val="11"/>
      <color rgb="FF0000FF"/>
      <name val="Calibri"/>
      <scheme val="minor"/>
    </font>
    <font>
      <sz val="14.4"/>
      <color theme="5"/>
      <name val="Calibri"/>
      <scheme val="minor"/>
    </font>
    <font>
      <sz val="14"/>
      <color theme="5" tint="-0.249977111117893"/>
      <name val="Calibri"/>
      <scheme val="minor"/>
    </font>
    <font>
      <sz val="12"/>
      <color rgb="FF31869B"/>
      <name val="Calibri"/>
      <scheme val="minor"/>
    </font>
    <font>
      <sz val="14"/>
      <color theme="5" tint="0.39997558519241921"/>
      <name val="Calibri"/>
      <scheme val="minor"/>
    </font>
    <font>
      <sz val="12"/>
      <color theme="5"/>
      <name val="Calibri"/>
      <scheme val="minor"/>
    </font>
    <font>
      <sz val="14"/>
      <color theme="8" tint="-0.249977111117893"/>
      <name val="Calibri"/>
      <scheme val="minor"/>
    </font>
    <font>
      <sz val="14.4"/>
      <color rgb="FF000000"/>
      <name val="Calibri"/>
      <scheme val="minor"/>
    </font>
    <font>
      <sz val="14.4"/>
      <color rgb="FF0000FF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8" fontId="3" fillId="0" borderId="0" xfId="0" applyNumberFormat="1" applyFont="1"/>
    <xf numFmtId="0" fontId="4" fillId="0" borderId="0" xfId="0" applyFont="1"/>
    <xf numFmtId="8" fontId="4" fillId="0" borderId="0" xfId="0" applyNumberFormat="1" applyFont="1"/>
    <xf numFmtId="0" fontId="5" fillId="0" borderId="0" xfId="0" applyFont="1"/>
    <xf numFmtId="0" fontId="6" fillId="0" borderId="0" xfId="0" applyFont="1"/>
    <xf numFmtId="8" fontId="6" fillId="0" borderId="0" xfId="0" applyNumberFormat="1" applyFont="1"/>
    <xf numFmtId="0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NumberFormat="1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center" wrapText="1"/>
    </xf>
    <xf numFmtId="0" fontId="23" fillId="0" borderId="0" xfId="0" applyFont="1"/>
    <xf numFmtId="0" fontId="0" fillId="0" borderId="0" xfId="0" applyAlignment="1">
      <alignment vertical="center" wrapText="1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3" fillId="0" borderId="0" xfId="0" applyFont="1" applyAlignment="1">
      <alignment vertical="center" wrapText="1"/>
    </xf>
    <xf numFmtId="0" fontId="29" fillId="0" borderId="0" xfId="0" applyFont="1"/>
    <xf numFmtId="0" fontId="19" fillId="0" borderId="0" xfId="0" applyNumberFormat="1" applyFont="1"/>
    <xf numFmtId="0" fontId="30" fillId="0" borderId="0" xfId="0" applyFont="1"/>
    <xf numFmtId="0" fontId="20" fillId="0" borderId="0" xfId="0" applyNumberFormat="1" applyFont="1"/>
    <xf numFmtId="0" fontId="3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270"/>
  <sheetViews>
    <sheetView tabSelected="1" topLeftCell="CE1" workbookViewId="0">
      <selection activeCell="CF3" sqref="CF3"/>
    </sheetView>
  </sheetViews>
  <sheetFormatPr baseColWidth="10" defaultRowHeight="15" x14ac:dyDescent="0"/>
  <cols>
    <col min="1" max="1" width="10.83203125" style="14"/>
    <col min="3" max="5" width="10.83203125" style="14"/>
    <col min="6" max="12" width="10.83203125" style="17"/>
    <col min="13" max="29" width="10.83203125" style="18"/>
    <col min="30" max="32" width="10.83203125" style="35"/>
    <col min="33" max="37" width="10.83203125" style="23"/>
    <col min="38" max="40" width="10.83203125" style="23" customWidth="1"/>
    <col min="41" max="68" width="10.83203125" style="23"/>
    <col min="69" max="69" width="14" style="23" bestFit="1" customWidth="1"/>
    <col min="70" max="70" width="14" style="23" customWidth="1"/>
    <col min="71" max="77" width="10.83203125" style="23"/>
    <col min="78" max="78" width="10.83203125" style="38"/>
    <col min="79" max="79" width="12.1640625" style="23" bestFit="1" customWidth="1"/>
    <col min="80" max="85" width="12.1640625" style="23" customWidth="1"/>
    <col min="86" max="110" width="10.83203125" style="27"/>
    <col min="111" max="111" width="11.83203125" style="27" bestFit="1" customWidth="1"/>
    <col min="112" max="118" width="10.83203125" style="27"/>
    <col min="119" max="120" width="12.5" style="27" bestFit="1" customWidth="1"/>
    <col min="121" max="121" width="12.5" style="27" customWidth="1"/>
    <col min="122" max="124" width="10.83203125" style="27"/>
  </cols>
  <sheetData>
    <row r="1" spans="1:132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6" t="s">
        <v>29</v>
      </c>
      <c r="AE1" s="6" t="s">
        <v>30</v>
      </c>
      <c r="AF1" s="6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8" t="s">
        <v>43</v>
      </c>
      <c r="AS1" s="8" t="s">
        <v>44</v>
      </c>
      <c r="AT1" s="8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9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10" t="s">
        <v>85</v>
      </c>
      <c r="CI1" s="10" t="s">
        <v>86</v>
      </c>
      <c r="CJ1" s="10" t="s">
        <v>87</v>
      </c>
      <c r="CK1" s="10" t="s">
        <v>88</v>
      </c>
      <c r="CL1" s="10" t="s">
        <v>89</v>
      </c>
      <c r="CM1" s="10" t="s">
        <v>90</v>
      </c>
      <c r="CN1" s="10" t="s">
        <v>91</v>
      </c>
      <c r="CO1" s="10" t="s">
        <v>92</v>
      </c>
      <c r="CP1" s="10" t="s">
        <v>93</v>
      </c>
      <c r="CQ1" s="10" t="s">
        <v>94</v>
      </c>
      <c r="CR1" s="10" t="s">
        <v>95</v>
      </c>
      <c r="CS1" s="10" t="s">
        <v>96</v>
      </c>
      <c r="CT1" s="10" t="s">
        <v>97</v>
      </c>
      <c r="CU1" s="10" t="s">
        <v>98</v>
      </c>
      <c r="CV1" s="10" t="s">
        <v>99</v>
      </c>
      <c r="CW1" s="10" t="s">
        <v>100</v>
      </c>
      <c r="CX1" s="10" t="s">
        <v>101</v>
      </c>
      <c r="CY1" s="10" t="s">
        <v>102</v>
      </c>
      <c r="CZ1" s="10" t="s">
        <v>103</v>
      </c>
      <c r="DA1" s="10" t="s">
        <v>104</v>
      </c>
      <c r="DB1" s="10" t="s">
        <v>105</v>
      </c>
      <c r="DC1" s="10" t="s">
        <v>106</v>
      </c>
      <c r="DD1" s="10" t="s">
        <v>107</v>
      </c>
      <c r="DE1" s="10" t="s">
        <v>108</v>
      </c>
      <c r="DF1" s="10" t="s">
        <v>109</v>
      </c>
      <c r="DG1" s="10" t="s">
        <v>110</v>
      </c>
      <c r="DH1" s="10" t="s">
        <v>111</v>
      </c>
      <c r="DI1" s="10" t="s">
        <v>112</v>
      </c>
      <c r="DJ1" s="10" t="s">
        <v>113</v>
      </c>
      <c r="DK1" s="10" t="s">
        <v>114</v>
      </c>
      <c r="DL1" s="10" t="s">
        <v>115</v>
      </c>
      <c r="DM1" s="11" t="s">
        <v>116</v>
      </c>
      <c r="DN1" s="10" t="s">
        <v>117</v>
      </c>
      <c r="DO1" s="10" t="s">
        <v>118</v>
      </c>
      <c r="DP1" s="10" t="s">
        <v>119</v>
      </c>
      <c r="DQ1" s="10" t="s">
        <v>120</v>
      </c>
      <c r="DR1" s="10" t="s">
        <v>121</v>
      </c>
      <c r="DS1" s="10" t="s">
        <v>122</v>
      </c>
      <c r="DT1" s="10" t="s">
        <v>123</v>
      </c>
      <c r="DU1" s="12" t="s">
        <v>124</v>
      </c>
      <c r="DV1" s="12" t="s">
        <v>125</v>
      </c>
      <c r="DW1" s="12" t="s">
        <v>126</v>
      </c>
      <c r="DX1" s="13" t="s">
        <v>127</v>
      </c>
      <c r="DY1" s="12" t="s">
        <v>128</v>
      </c>
      <c r="DZ1" s="12" t="s">
        <v>129</v>
      </c>
      <c r="EA1" s="12" t="s">
        <v>130</v>
      </c>
      <c r="EB1" s="12" t="s">
        <v>131</v>
      </c>
    </row>
    <row r="2" spans="1:132" ht="18">
      <c r="A2" s="14" t="s">
        <v>132</v>
      </c>
      <c r="B2" s="14">
        <v>1</v>
      </c>
      <c r="C2" s="14" t="s">
        <v>133</v>
      </c>
      <c r="D2" s="14" t="s">
        <v>134</v>
      </c>
      <c r="E2" s="14" t="s">
        <v>135</v>
      </c>
      <c r="F2" s="15">
        <v>334.16</v>
      </c>
      <c r="G2" s="15">
        <v>2.5239544622570649</v>
      </c>
      <c r="H2" s="15">
        <v>334</v>
      </c>
      <c r="I2" s="15">
        <v>0</v>
      </c>
      <c r="J2" s="16">
        <v>0</v>
      </c>
      <c r="K2" s="16">
        <v>0</v>
      </c>
      <c r="L2" s="17">
        <v>2.9980261977390996E-2</v>
      </c>
      <c r="M2" s="18">
        <v>25</v>
      </c>
      <c r="N2" s="18">
        <v>25</v>
      </c>
      <c r="O2" s="18">
        <v>0.87448559670781889</v>
      </c>
      <c r="P2" s="18">
        <v>2</v>
      </c>
      <c r="Q2" s="18">
        <f>(1+4)/2</f>
        <v>2.5</v>
      </c>
      <c r="R2" s="18">
        <v>25</v>
      </c>
      <c r="S2" s="18">
        <v>6</v>
      </c>
      <c r="T2" s="19">
        <v>2014</v>
      </c>
      <c r="U2" s="19">
        <v>3.3040594662176002</v>
      </c>
      <c r="V2" s="20"/>
      <c r="W2" s="20"/>
      <c r="X2" s="20"/>
      <c r="Y2" s="20">
        <v>0.29089615930000001</v>
      </c>
      <c r="Z2" s="20">
        <f>LOG(Y2)</f>
        <v>-0.53626201270216001</v>
      </c>
      <c r="AA2" s="20">
        <v>0.60066555740000005</v>
      </c>
      <c r="AB2" s="20">
        <v>361</v>
      </c>
      <c r="AC2" s="20"/>
      <c r="AD2" s="21">
        <v>761</v>
      </c>
      <c r="AE2" s="21">
        <f t="shared" ref="AE2:AE40" si="0">AD2/AR2</f>
        <v>6.8275614570249415E-2</v>
      </c>
      <c r="AF2" s="21">
        <f t="shared" ref="AF2:AF19" si="1">LOG(AD2)</f>
        <v>2.8813846567705728</v>
      </c>
      <c r="AG2" s="22">
        <v>1.3457742687959806E-3</v>
      </c>
      <c r="AH2" s="22">
        <v>15</v>
      </c>
      <c r="AI2" s="22">
        <v>2.0690242859999999</v>
      </c>
      <c r="AL2" s="24">
        <v>0.28804347800000002</v>
      </c>
      <c r="AM2" s="22">
        <f>2301+3688</f>
        <v>5989</v>
      </c>
      <c r="AN2" s="22">
        <f>AM2/AR2</f>
        <v>0.53732280638794183</v>
      </c>
      <c r="AO2" s="23">
        <v>6.6790617848970293E-2</v>
      </c>
      <c r="AP2" s="23">
        <v>1.4393271111116599E-2</v>
      </c>
      <c r="AQ2" s="23">
        <v>0.15815950582437244</v>
      </c>
      <c r="AR2" s="23">
        <v>11146</v>
      </c>
      <c r="AS2" s="23">
        <v>4.0471190387201812</v>
      </c>
      <c r="AT2" s="23">
        <f>LOG(11901)</f>
        <v>4.0755834551938133</v>
      </c>
      <c r="AU2" s="22">
        <v>1.0349999999999999</v>
      </c>
      <c r="AV2" s="22">
        <v>0.61248402219999998</v>
      </c>
      <c r="AW2" s="22">
        <v>9.7119999999999997</v>
      </c>
      <c r="AX2" s="22"/>
      <c r="AY2" s="22">
        <v>1</v>
      </c>
      <c r="AZ2" s="24">
        <v>6992</v>
      </c>
      <c r="BA2" s="24">
        <f>LOG(AZ2)</f>
        <v>3.8446014196263465</v>
      </c>
      <c r="BB2" s="24">
        <v>3418</v>
      </c>
      <c r="BC2" s="24">
        <f>LOG(BB2)</f>
        <v>3.5337720583847179</v>
      </c>
      <c r="BD2" s="24">
        <v>3574</v>
      </c>
      <c r="BE2" s="23">
        <v>467</v>
      </c>
      <c r="BF2" s="23">
        <v>115.5</v>
      </c>
      <c r="BG2" s="23">
        <v>-0.33094555873925502</v>
      </c>
      <c r="BH2" s="23">
        <v>4.1898438901848196E-2</v>
      </c>
      <c r="BI2" s="23">
        <v>5.86505335686077E-2</v>
      </c>
      <c r="BJ2" s="23">
        <v>2.5612052783444018E-2</v>
      </c>
      <c r="BK2" s="23">
        <v>-0.28562561408181203</v>
      </c>
      <c r="BL2" s="23">
        <v>698</v>
      </c>
      <c r="BM2" s="22">
        <v>1045</v>
      </c>
      <c r="BN2" s="22"/>
      <c r="BO2" s="22">
        <v>3.019116290447073</v>
      </c>
      <c r="BP2" s="22">
        <v>0.14945652173913043</v>
      </c>
      <c r="BQ2" s="22">
        <v>2.6346007298965902E-3</v>
      </c>
      <c r="BR2" s="22"/>
      <c r="BS2" s="22">
        <v>-966</v>
      </c>
      <c r="BT2" s="22">
        <v>2.9849771264154898</v>
      </c>
      <c r="BU2" s="22">
        <v>8.6667862910461149E-2</v>
      </c>
      <c r="BV2" s="23">
        <v>1296</v>
      </c>
      <c r="BW2" s="22">
        <v>2875</v>
      </c>
      <c r="BX2" s="22">
        <v>22.5</v>
      </c>
      <c r="BY2" s="22">
        <v>1.3521825181113625</v>
      </c>
      <c r="BZ2" s="25">
        <v>-0.26829268292682928</v>
      </c>
      <c r="CA2" s="23">
        <v>0.54704599928878095</v>
      </c>
      <c r="CB2" s="23">
        <v>54.704599928878096</v>
      </c>
      <c r="CC2" s="23">
        <v>1.7380238462554702</v>
      </c>
      <c r="CD2" s="23">
        <v>0.24684459</v>
      </c>
      <c r="CE2" s="23">
        <v>0.25781599843701042</v>
      </c>
      <c r="CF2" s="23">
        <v>1.806532663316583</v>
      </c>
      <c r="CG2" s="23">
        <f>LN(CF2)</f>
        <v>0.59140935243660908</v>
      </c>
      <c r="CH2" s="26">
        <v>28.62</v>
      </c>
      <c r="CI2" s="26">
        <v>23.8</v>
      </c>
      <c r="CJ2" s="26">
        <v>1.4566696294237576</v>
      </c>
      <c r="CK2" s="26">
        <v>1.3765769570565121</v>
      </c>
      <c r="CL2" s="26">
        <v>0.20252100840336135</v>
      </c>
      <c r="CM2" s="27">
        <v>28.164291187739472</v>
      </c>
      <c r="CN2" s="27">
        <v>5.6821432935815153E-2</v>
      </c>
      <c r="CQ2" s="27">
        <v>125.09884615384618</v>
      </c>
      <c r="CR2" s="27">
        <v>0.13726223776223803</v>
      </c>
      <c r="CS2" s="27">
        <v>0.92386973180076604</v>
      </c>
      <c r="CT2" s="27">
        <v>1.0645593900000001</v>
      </c>
      <c r="CU2" s="27">
        <v>-0.12842478132003207</v>
      </c>
      <c r="CX2" s="28">
        <v>0.76</v>
      </c>
      <c r="CY2" s="28">
        <v>0.82</v>
      </c>
      <c r="CZ2" s="29">
        <v>37.275402300000003</v>
      </c>
      <c r="DA2" s="27">
        <v>0.32652677224199295</v>
      </c>
      <c r="DB2" s="27">
        <v>2.5105365885464708</v>
      </c>
      <c r="DC2" s="27">
        <v>1.25643310503606</v>
      </c>
      <c r="DD2" s="27">
        <v>2</v>
      </c>
      <c r="DE2" s="28">
        <v>1.67</v>
      </c>
      <c r="DF2" s="28">
        <v>85.028631000000004</v>
      </c>
      <c r="DG2" s="28">
        <v>4.4429880350681623</v>
      </c>
      <c r="DH2" s="28">
        <v>0.85787100000000005</v>
      </c>
      <c r="DI2" s="28">
        <v>1.1452469999999999</v>
      </c>
      <c r="DJ2" s="27">
        <v>3</v>
      </c>
      <c r="DK2" s="27">
        <v>2.2999999999999998</v>
      </c>
      <c r="DL2" s="27">
        <v>1.1731637610823707E-2</v>
      </c>
      <c r="DM2" s="27">
        <v>0.95289999999999997</v>
      </c>
      <c r="DN2" s="28">
        <v>1.1605000000000001</v>
      </c>
      <c r="DO2" s="28">
        <v>9.3264248704663183E-2</v>
      </c>
      <c r="DP2" s="28">
        <v>-0.15237502223803603</v>
      </c>
      <c r="DQ2" s="27">
        <v>0.20879999999999999</v>
      </c>
      <c r="DR2" s="27">
        <v>6.0688564775993499E-2</v>
      </c>
      <c r="DS2" s="27">
        <v>3.9305854754660308E-2</v>
      </c>
      <c r="DT2" s="27">
        <v>3.268886E-2</v>
      </c>
      <c r="DU2" s="30">
        <v>5.7817160000000003</v>
      </c>
      <c r="DV2">
        <v>0.9</v>
      </c>
      <c r="DW2">
        <v>2.8</v>
      </c>
      <c r="DX2">
        <v>84</v>
      </c>
      <c r="DY2">
        <v>80.900000000000006</v>
      </c>
      <c r="DZ2">
        <v>2.2000000000000002</v>
      </c>
      <c r="EA2">
        <v>3</v>
      </c>
      <c r="EB2">
        <v>1.701892</v>
      </c>
    </row>
    <row r="3" spans="1:132" ht="18">
      <c r="A3" s="14" t="s">
        <v>132</v>
      </c>
      <c r="B3" s="14">
        <v>2</v>
      </c>
      <c r="C3" s="14" t="s">
        <v>133</v>
      </c>
      <c r="D3" s="14" t="s">
        <v>134</v>
      </c>
      <c r="E3" s="14" t="s">
        <v>135</v>
      </c>
      <c r="F3" s="15">
        <v>1504</v>
      </c>
      <c r="G3" s="15">
        <v>3.1772478362556233</v>
      </c>
      <c r="H3" s="15">
        <v>427</v>
      </c>
      <c r="I3" s="15">
        <v>19</v>
      </c>
      <c r="J3" s="16">
        <v>1058</v>
      </c>
      <c r="K3" s="16">
        <v>1</v>
      </c>
      <c r="L3" s="17">
        <v>0.13693890558135299</v>
      </c>
      <c r="M3" s="18">
        <v>25</v>
      </c>
      <c r="N3" s="18">
        <v>25</v>
      </c>
      <c r="O3" s="18">
        <v>0.87448559670781889</v>
      </c>
      <c r="P3" s="18">
        <v>2</v>
      </c>
      <c r="Q3" s="18">
        <f t="shared" ref="Q3:Q14" si="2">(1+4)/2</f>
        <v>2.5</v>
      </c>
      <c r="R3" s="18">
        <v>25</v>
      </c>
      <c r="S3" s="18">
        <v>6</v>
      </c>
      <c r="T3" s="19">
        <v>2345</v>
      </c>
      <c r="U3" s="19">
        <v>3.3701428470511021</v>
      </c>
      <c r="V3" s="20"/>
      <c r="W3" s="20"/>
      <c r="X3" s="20"/>
      <c r="Y3" s="20">
        <v>0.28648480450000002</v>
      </c>
      <c r="Z3" s="20">
        <f t="shared" ref="Z3:Z66" si="3">LOG(Y3)</f>
        <v>-0.54289840858948701</v>
      </c>
      <c r="AA3" s="20">
        <v>0.30666666669999998</v>
      </c>
      <c r="AB3" s="20">
        <v>207</v>
      </c>
      <c r="AC3" s="20"/>
      <c r="AD3" s="21">
        <v>1665</v>
      </c>
      <c r="AE3" s="21">
        <f t="shared" si="0"/>
        <v>0.15159792406446326</v>
      </c>
      <c r="AF3" s="21">
        <f t="shared" si="1"/>
        <v>3.2214142378423385</v>
      </c>
      <c r="AG3" s="22">
        <v>1.2746972594008922E-3</v>
      </c>
      <c r="AH3" s="22">
        <v>14</v>
      </c>
      <c r="AI3" s="22">
        <v>1.936652542</v>
      </c>
      <c r="AL3" s="24">
        <v>0.33290743900000003</v>
      </c>
      <c r="AM3" s="22">
        <f>2991+2862</f>
        <v>5853</v>
      </c>
      <c r="AN3" s="22">
        <f t="shared" ref="AN3:AN38" si="4">AM3/AR3</f>
        <v>0.53291450423381592</v>
      </c>
      <c r="AO3" s="23">
        <v>7.1692220329358319E-2</v>
      </c>
      <c r="AP3" s="23">
        <v>2.450801240194013E-3</v>
      </c>
      <c r="AQ3" s="23">
        <v>-0.61069190857132238</v>
      </c>
      <c r="AR3" s="23">
        <v>10983</v>
      </c>
      <c r="AS3" s="23">
        <v>4.0407209836011937</v>
      </c>
      <c r="AT3" s="23">
        <v>4.0471190387201812</v>
      </c>
      <c r="AU3" s="22">
        <v>1.0369999999999999</v>
      </c>
      <c r="AV3" s="22">
        <v>0.25508474580000001</v>
      </c>
      <c r="AW3" s="22">
        <v>9.141</v>
      </c>
      <c r="AX3" s="22">
        <v>9.7119999999999997</v>
      </c>
      <c r="AY3" s="22">
        <v>1</v>
      </c>
      <c r="AZ3" s="24">
        <v>7044</v>
      </c>
      <c r="BA3" s="24">
        <f t="shared" ref="BA3:BA66" si="5">LOG(AZ3)</f>
        <v>3.8478193472952391</v>
      </c>
      <c r="BB3" s="24">
        <v>3385</v>
      </c>
      <c r="BC3" s="24">
        <f t="shared" ref="BC3:BC66" si="6">LOG(BB3)</f>
        <v>3.529558673021163</v>
      </c>
      <c r="BD3" s="24">
        <v>3659</v>
      </c>
      <c r="BE3" s="23">
        <v>505</v>
      </c>
      <c r="BF3" s="23">
        <f>STDEVP(BE2:BE3)</f>
        <v>19</v>
      </c>
      <c r="BG3" s="23">
        <v>8.137044967880086E-2</v>
      </c>
      <c r="BH3" s="23">
        <v>4.5980151142675042E-2</v>
      </c>
      <c r="BI3" s="23">
        <v>4.1898438901848203E-2</v>
      </c>
      <c r="BJ3" s="23">
        <v>2.5612052783444018E-2</v>
      </c>
      <c r="BK3" s="23">
        <v>9.741919622324631E-2</v>
      </c>
      <c r="BL3" s="23">
        <v>467</v>
      </c>
      <c r="BM3" s="22">
        <v>1151</v>
      </c>
      <c r="BN3" s="22">
        <f>STDEVP(BM2:BM3)</f>
        <v>53</v>
      </c>
      <c r="BO3" s="22">
        <v>3.0610753236297916</v>
      </c>
      <c r="BP3" s="22">
        <v>0.16340147643384439</v>
      </c>
      <c r="BQ3" s="22">
        <v>6.9724773473569803E-3</v>
      </c>
      <c r="BR3" s="22">
        <v>2.6346007298965902E-3</v>
      </c>
      <c r="BS3" s="22">
        <v>-939</v>
      </c>
      <c r="BT3" s="22">
        <v>2.9726655922661109</v>
      </c>
      <c r="BU3" s="22">
        <v>8.5495766184102706E-2</v>
      </c>
      <c r="BV3" s="23">
        <v>866</v>
      </c>
      <c r="BW3" s="23">
        <v>1204</v>
      </c>
      <c r="BX3" s="22">
        <v>21.2</v>
      </c>
      <c r="BY3" s="22">
        <v>1.3263358609287514</v>
      </c>
      <c r="BZ3" s="25">
        <v>-5.777777777777781E-2</v>
      </c>
      <c r="CA3" s="23">
        <v>0.25781599843701042</v>
      </c>
      <c r="CB3" s="23">
        <v>25.781599843701041</v>
      </c>
      <c r="CC3" s="23">
        <v>1.4113098634337251</v>
      </c>
      <c r="CD3" s="23">
        <v>0.54704599928878095</v>
      </c>
      <c r="CE3" s="23">
        <v>0.12277238883561896</v>
      </c>
      <c r="CF3" s="23">
        <v>1.5458422174840083</v>
      </c>
      <c r="CG3" s="23">
        <f t="shared" ref="CG3:CG66" si="7">LN(CF3)</f>
        <v>0.43556888640839525</v>
      </c>
      <c r="CH3" s="26">
        <v>18.309999999999999</v>
      </c>
      <c r="CI3" s="26">
        <v>28.62</v>
      </c>
      <c r="CJ3" s="26">
        <v>1.2626883443016965</v>
      </c>
      <c r="CK3" s="26">
        <v>1.4566696294237576</v>
      </c>
      <c r="CL3" s="26">
        <v>-0.36023759608665273</v>
      </c>
      <c r="CM3" s="27">
        <v>22.615402298850601</v>
      </c>
      <c r="CN3" s="27">
        <v>-0.19701858825065774</v>
      </c>
      <c r="CQ3" s="27">
        <v>115.89653846153851</v>
      </c>
      <c r="CR3" s="27">
        <v>-7.3560292322686169E-2</v>
      </c>
      <c r="CS3" s="27">
        <v>0.92888888888888899</v>
      </c>
      <c r="CT3" s="27">
        <v>0.92386973180076604</v>
      </c>
      <c r="CU3" s="27">
        <v>5.4327541160373669E-3</v>
      </c>
      <c r="CX3" s="28">
        <v>0.66</v>
      </c>
      <c r="CY3" s="28">
        <v>0.76</v>
      </c>
      <c r="CZ3" s="29">
        <v>31.998965519999999</v>
      </c>
      <c r="DA3" s="27">
        <v>-0.14155277889515908</v>
      </c>
      <c r="DB3" s="27">
        <v>2.6347679627304119</v>
      </c>
      <c r="DC3" s="27">
        <v>2.5105365885464708</v>
      </c>
      <c r="DD3" s="27">
        <v>2</v>
      </c>
      <c r="DE3" s="28">
        <v>1.85</v>
      </c>
      <c r="DF3" s="28">
        <v>86.639512999999994</v>
      </c>
      <c r="DG3" s="28">
        <v>4.4617559817166423</v>
      </c>
      <c r="DH3" s="28">
        <v>0.870556</v>
      </c>
      <c r="DI3" s="28">
        <v>1.0906480000000001</v>
      </c>
      <c r="DJ3" s="27">
        <v>2.2000000000000002</v>
      </c>
      <c r="DK3" s="27">
        <v>2</v>
      </c>
      <c r="DL3" s="27">
        <v>1.6216043547496031E-2</v>
      </c>
      <c r="DM3" s="27">
        <v>0.79400000000000004</v>
      </c>
      <c r="DN3" s="28">
        <v>1.1231</v>
      </c>
      <c r="DO3" s="28">
        <v>-3.2227488151658851E-2</v>
      </c>
      <c r="DP3" s="28">
        <v>-0.16675411900514214</v>
      </c>
      <c r="DQ3" s="27">
        <v>0.17130000000000001</v>
      </c>
      <c r="DR3" s="27">
        <v>3.9305854754660308E-2</v>
      </c>
      <c r="DS3" s="27">
        <v>2.6867542601332471E-2</v>
      </c>
      <c r="DT3" s="27">
        <v>6.0688564775993471E-2</v>
      </c>
      <c r="DU3" s="30">
        <v>5.9865389999999996</v>
      </c>
      <c r="DV3">
        <v>0.9</v>
      </c>
      <c r="DW3">
        <v>2.8</v>
      </c>
      <c r="DX3">
        <v>85.7</v>
      </c>
      <c r="DY3">
        <v>82.9</v>
      </c>
      <c r="DZ3">
        <v>2.4</v>
      </c>
      <c r="EA3">
        <v>2</v>
      </c>
      <c r="EB3">
        <v>1.4781599999999999</v>
      </c>
    </row>
    <row r="4" spans="1:132" ht="18">
      <c r="A4" s="14" t="s">
        <v>132</v>
      </c>
      <c r="B4" s="14">
        <v>3</v>
      </c>
      <c r="C4" s="14" t="s">
        <v>133</v>
      </c>
      <c r="D4" s="14" t="s">
        <v>134</v>
      </c>
      <c r="E4" s="14" t="s">
        <v>135</v>
      </c>
      <c r="F4" s="15">
        <v>2595</v>
      </c>
      <c r="G4" s="15">
        <v>3.4141373621844768</v>
      </c>
      <c r="H4" s="15">
        <v>361</v>
      </c>
      <c r="I4" s="15">
        <v>0</v>
      </c>
      <c r="J4" s="16">
        <v>1634</v>
      </c>
      <c r="K4" s="16">
        <v>1</v>
      </c>
      <c r="L4" s="17">
        <v>0.1395461389546139</v>
      </c>
      <c r="M4" s="18">
        <v>25</v>
      </c>
      <c r="N4" s="18">
        <v>25</v>
      </c>
      <c r="O4" s="18">
        <v>0.87448559670781889</v>
      </c>
      <c r="P4" s="18">
        <v>2</v>
      </c>
      <c r="Q4" s="18">
        <f t="shared" si="2"/>
        <v>2.5</v>
      </c>
      <c r="R4" s="18">
        <v>25</v>
      </c>
      <c r="S4" s="18">
        <v>6</v>
      </c>
      <c r="T4" s="19">
        <v>3699</v>
      </c>
      <c r="U4" s="19">
        <v>3.568084331315394</v>
      </c>
      <c r="V4" s="19"/>
      <c r="W4" s="19"/>
      <c r="X4" s="19"/>
      <c r="Y4" s="20">
        <v>0.58482226230000001</v>
      </c>
      <c r="Z4" s="20">
        <f t="shared" si="3"/>
        <v>-0.2329761035433221</v>
      </c>
      <c r="AA4" s="20">
        <v>0.32304038000000002</v>
      </c>
      <c r="AB4" s="20">
        <v>272</v>
      </c>
      <c r="AC4" s="20"/>
      <c r="AD4" s="21">
        <v>3334</v>
      </c>
      <c r="AE4" s="21">
        <f t="shared" si="0"/>
        <v>0.17928586792858681</v>
      </c>
      <c r="AF4" s="21">
        <f t="shared" si="1"/>
        <v>3.5229655954919865</v>
      </c>
      <c r="AG4" s="22">
        <v>7.5285007528500751E-4</v>
      </c>
      <c r="AH4" s="22">
        <v>14</v>
      </c>
      <c r="AI4" s="22">
        <v>1.927549824</v>
      </c>
      <c r="AL4" s="24">
        <v>0.43172268899999999</v>
      </c>
      <c r="AM4" s="22">
        <f>3805+5849</f>
        <v>9654</v>
      </c>
      <c r="AN4" s="22">
        <f t="shared" si="4"/>
        <v>0.51914390191439019</v>
      </c>
      <c r="AO4" s="23">
        <v>8.3916900093370675E-2</v>
      </c>
      <c r="AP4" s="23">
        <v>6.1123398820061786E-3</v>
      </c>
      <c r="AQ4" s="23">
        <v>-0.21379250443633485</v>
      </c>
      <c r="AR4" s="23">
        <v>18596</v>
      </c>
      <c r="AS4" s="23">
        <v>4.2694195375110491</v>
      </c>
      <c r="AT4" s="23">
        <v>4.0407209836011937</v>
      </c>
      <c r="AU4" s="22">
        <v>0.94699999999999995</v>
      </c>
      <c r="AV4" s="22">
        <v>0.26764361079999999</v>
      </c>
      <c r="AW4" s="22">
        <v>16.442</v>
      </c>
      <c r="AX4" s="22">
        <v>9.141</v>
      </c>
      <c r="AY4" s="22">
        <v>1</v>
      </c>
      <c r="AZ4" s="24">
        <v>8568</v>
      </c>
      <c r="BA4" s="24">
        <f t="shared" si="5"/>
        <v>3.9328794578237991</v>
      </c>
      <c r="BB4" s="24">
        <v>3996</v>
      </c>
      <c r="BC4" s="24">
        <f t="shared" si="6"/>
        <v>3.6016254795539449</v>
      </c>
      <c r="BD4" s="24">
        <v>4572</v>
      </c>
      <c r="BE4" s="23">
        <v>719</v>
      </c>
      <c r="BF4" s="23">
        <f t="shared" ref="BF4:BF14" si="8">STDEVP(BE3:BE4)</f>
        <v>107</v>
      </c>
      <c r="BG4" s="23">
        <v>0.42376237623762375</v>
      </c>
      <c r="BH4" s="23">
        <v>3.8664228866422887E-2</v>
      </c>
      <c r="BI4" s="23">
        <v>4.5980151142675042E-2</v>
      </c>
      <c r="BJ4" s="23">
        <v>2.5612052783444E-2</v>
      </c>
      <c r="BK4" s="23">
        <v>-0.15911044427738105</v>
      </c>
      <c r="BL4" s="23">
        <v>505</v>
      </c>
      <c r="BM4" s="22">
        <v>1384</v>
      </c>
      <c r="BN4" s="22">
        <f t="shared" ref="BN4:BN13" si="9">STDEVP(BM3:BM4)</f>
        <v>116.5</v>
      </c>
      <c r="BO4" s="22">
        <v>3.1411360901207388</v>
      </c>
      <c r="BP4" s="22">
        <v>0.16153127917833801</v>
      </c>
      <c r="BQ4" s="22">
        <v>9.3509862775319197E-4</v>
      </c>
      <c r="BR4" s="22">
        <v>6.9724773473569803E-3</v>
      </c>
      <c r="BS4" s="22">
        <v>-503</v>
      </c>
      <c r="BT4" s="22">
        <v>2.7015679850559273</v>
      </c>
      <c r="BU4" s="22">
        <v>2.7048827704882771E-2</v>
      </c>
      <c r="BV4" s="23">
        <v>864</v>
      </c>
      <c r="BW4" s="22">
        <v>2283</v>
      </c>
      <c r="BX4" s="22">
        <v>28.5</v>
      </c>
      <c r="BY4" s="22">
        <v>1.4548448600085102</v>
      </c>
      <c r="BZ4" s="25">
        <v>0.34433962264150947</v>
      </c>
      <c r="CA4" s="23">
        <v>0.12277238883561896</v>
      </c>
      <c r="CB4" s="23">
        <v>12.277238883561896</v>
      </c>
      <c r="CC4" s="23">
        <v>1.0891007061810292</v>
      </c>
      <c r="CD4" s="23">
        <v>0.25781599843701042</v>
      </c>
      <c r="CE4" s="23">
        <v>0.16799821585194843</v>
      </c>
      <c r="CF4" s="23">
        <v>1.4337539432176656</v>
      </c>
      <c r="CG4" s="23">
        <f t="shared" si="7"/>
        <v>0.36029613974025287</v>
      </c>
      <c r="CH4" s="26">
        <v>13.29</v>
      </c>
      <c r="CI4" s="26">
        <v>18.309999999999999</v>
      </c>
      <c r="CJ4" s="26">
        <v>1.1235249809427319</v>
      </c>
      <c r="CK4" s="26">
        <v>1.2626883443016965</v>
      </c>
      <c r="CL4" s="26">
        <v>-0.27416712179137082</v>
      </c>
      <c r="CM4" s="27">
        <v>16.030268199233717</v>
      </c>
      <c r="CN4" s="27">
        <v>-0.29117917128326143</v>
      </c>
      <c r="CQ4" s="27">
        <v>102.091538461539</v>
      </c>
      <c r="CR4" s="27">
        <v>-0.11911486040267583</v>
      </c>
      <c r="CS4" s="27">
        <v>0.98590038314176198</v>
      </c>
      <c r="CT4" s="27">
        <v>0.92888888888888899</v>
      </c>
      <c r="CU4" s="27">
        <v>6.1376010559313028E-2</v>
      </c>
      <c r="CV4" s="27">
        <v>1.140877862595419</v>
      </c>
      <c r="CW4" s="27">
        <v>2.0572391532349976</v>
      </c>
      <c r="CX4" s="28">
        <v>1.07</v>
      </c>
      <c r="CY4" s="28">
        <v>0.66</v>
      </c>
      <c r="CZ4" s="29">
        <v>18.886297710000001</v>
      </c>
      <c r="DA4" s="27">
        <v>-0.40978411635852152</v>
      </c>
      <c r="DB4" s="27">
        <v>266.87708664986224</v>
      </c>
      <c r="DC4" s="27">
        <v>2.6347679627304119</v>
      </c>
      <c r="DD4" s="27">
        <v>2</v>
      </c>
      <c r="DE4" s="28">
        <v>2.04</v>
      </c>
      <c r="DF4" s="28">
        <v>88.540595999999994</v>
      </c>
      <c r="DG4" s="28">
        <v>4.4834611587021653</v>
      </c>
      <c r="DH4" s="28">
        <v>0.88167200000000001</v>
      </c>
      <c r="DI4" s="28">
        <v>1.0755969999999999</v>
      </c>
      <c r="DJ4" s="27">
        <v>1.9</v>
      </c>
      <c r="DK4" s="27">
        <v>2.1</v>
      </c>
      <c r="DL4" s="27">
        <v>1.3035848693861207E-2</v>
      </c>
      <c r="DM4" s="27">
        <v>0.73780000000000001</v>
      </c>
      <c r="DN4" s="28">
        <v>0.95269999999999999</v>
      </c>
      <c r="DO4" s="28">
        <v>-0.15172290980322323</v>
      </c>
      <c r="DP4" s="28">
        <v>-7.0780856423173832E-2</v>
      </c>
      <c r="DQ4" s="27">
        <v>0.11370000000000002</v>
      </c>
      <c r="DR4" s="27">
        <v>2.6867542601332499E-2</v>
      </c>
      <c r="DS4" s="27">
        <v>3.2347817198611614E-2</v>
      </c>
      <c r="DT4" s="27">
        <v>3.9305854754660308E-2</v>
      </c>
      <c r="DU4" s="30">
        <v>5.5230399999999999</v>
      </c>
      <c r="DV4">
        <v>0.3</v>
      </c>
      <c r="DW4">
        <v>2.6</v>
      </c>
      <c r="DX4">
        <v>88</v>
      </c>
      <c r="DY4">
        <v>85.1</v>
      </c>
      <c r="DZ4">
        <v>2</v>
      </c>
      <c r="EA4">
        <v>1.5</v>
      </c>
      <c r="EB4">
        <v>1.913224</v>
      </c>
    </row>
    <row r="5" spans="1:132" ht="18">
      <c r="A5" s="14" t="s">
        <v>132</v>
      </c>
      <c r="B5" s="14">
        <v>4</v>
      </c>
      <c r="C5" s="14" t="s">
        <v>133</v>
      </c>
      <c r="D5" s="14" t="s">
        <v>134</v>
      </c>
      <c r="E5" s="14" t="s">
        <v>135</v>
      </c>
      <c r="F5" s="15">
        <v>3322</v>
      </c>
      <c r="G5" s="15">
        <v>3.5213996281153759</v>
      </c>
      <c r="H5" s="15">
        <v>361</v>
      </c>
      <c r="I5" s="15">
        <v>0</v>
      </c>
      <c r="J5" s="16">
        <v>915</v>
      </c>
      <c r="K5" s="16">
        <v>1</v>
      </c>
      <c r="L5" s="17">
        <v>0.14099571325495522</v>
      </c>
      <c r="M5" s="18">
        <v>25</v>
      </c>
      <c r="N5" s="18">
        <v>25</v>
      </c>
      <c r="O5" s="18">
        <v>0.87448559670781889</v>
      </c>
      <c r="P5" s="18">
        <v>2</v>
      </c>
      <c r="Q5" s="18">
        <f t="shared" si="2"/>
        <v>2.5</v>
      </c>
      <c r="R5" s="18">
        <v>25</v>
      </c>
      <c r="S5" s="18">
        <v>6</v>
      </c>
      <c r="T5" s="19">
        <v>6427</v>
      </c>
      <c r="U5" s="19">
        <v>3.8080082999104001</v>
      </c>
      <c r="V5" s="19"/>
      <c r="W5" s="19"/>
      <c r="X5" s="19"/>
      <c r="Y5" s="20">
        <v>0.63320481470000001</v>
      </c>
      <c r="Z5" s="20">
        <f t="shared" si="3"/>
        <v>-0.19845579155179741</v>
      </c>
      <c r="AA5" s="20">
        <v>0.43993506490000001</v>
      </c>
      <c r="AB5" s="20">
        <v>542</v>
      </c>
      <c r="AC5" s="20"/>
      <c r="AD5" s="21">
        <v>4190</v>
      </c>
      <c r="AE5" s="21">
        <f t="shared" si="0"/>
        <v>0.17783625482789356</v>
      </c>
      <c r="AF5" s="21">
        <f t="shared" si="1"/>
        <v>3.6222140229662951</v>
      </c>
      <c r="AG5" s="22">
        <v>7.6397436441577181E-4</v>
      </c>
      <c r="AH5" s="22">
        <v>18</v>
      </c>
      <c r="AI5" s="22">
        <v>1.9488274779999999</v>
      </c>
      <c r="AL5" s="24">
        <v>0.55138984199999996</v>
      </c>
      <c r="AM5" s="22">
        <f>6522+5189</f>
        <v>11711</v>
      </c>
      <c r="AN5" s="22">
        <f t="shared" si="4"/>
        <v>0.4970502100929502</v>
      </c>
      <c r="AO5" s="23">
        <v>0.12028140013726836</v>
      </c>
      <c r="AP5" s="23">
        <v>1.8182250021948811E-2</v>
      </c>
      <c r="AQ5" s="23">
        <v>0.25964762540147984</v>
      </c>
      <c r="AR5" s="23">
        <v>23561</v>
      </c>
      <c r="AS5" s="23">
        <v>4.3721937192757343</v>
      </c>
      <c r="AT5" s="23">
        <v>4.2694195375110491</v>
      </c>
      <c r="AU5" s="22">
        <v>0.82199999999999995</v>
      </c>
      <c r="AV5" s="22">
        <v>0.4745009154</v>
      </c>
      <c r="AW5" s="22">
        <v>22.355</v>
      </c>
      <c r="AX5" s="22">
        <v>16.442</v>
      </c>
      <c r="AY5" s="22">
        <v>1</v>
      </c>
      <c r="AZ5" s="24">
        <v>11656</v>
      </c>
      <c r="BA5" s="24">
        <f t="shared" si="5"/>
        <v>4.0665495387619339</v>
      </c>
      <c r="BB5" s="24">
        <v>5082</v>
      </c>
      <c r="BC5" s="24">
        <f t="shared" si="6"/>
        <v>3.7060346607143506</v>
      </c>
      <c r="BD5" s="24">
        <v>6574</v>
      </c>
      <c r="BE5" s="23">
        <v>1402</v>
      </c>
      <c r="BF5" s="23">
        <f t="shared" si="8"/>
        <v>341.5</v>
      </c>
      <c r="BG5" s="23">
        <v>0.94993045897079276</v>
      </c>
      <c r="BH5" s="23">
        <v>5.9505114383939559E-2</v>
      </c>
      <c r="BI5" s="23">
        <v>3.8664228866422887E-2</v>
      </c>
      <c r="BJ5" s="23">
        <v>2.5612052783444018E-2</v>
      </c>
      <c r="BK5" s="23">
        <v>0.53902240206361618</v>
      </c>
      <c r="BL5" s="23">
        <v>719</v>
      </c>
      <c r="BM5" s="22">
        <v>3194</v>
      </c>
      <c r="BN5" s="22">
        <f t="shared" si="9"/>
        <v>905</v>
      </c>
      <c r="BO5" s="22">
        <v>3.5043349118024643</v>
      </c>
      <c r="BP5" s="22">
        <v>0.27402196293754288</v>
      </c>
      <c r="BQ5" s="22">
        <v>5.6245341879602485E-2</v>
      </c>
      <c r="BR5" s="22">
        <v>9.3509862775319197E-4</v>
      </c>
      <c r="BS5" s="22">
        <v>-2584</v>
      </c>
      <c r="BT5" s="22">
        <v>3.4122925093230463</v>
      </c>
      <c r="BU5" s="22">
        <v>0.10967276431390857</v>
      </c>
      <c r="BV5" s="23">
        <v>2768</v>
      </c>
      <c r="BW5" s="22">
        <v>5443</v>
      </c>
      <c r="BX5" s="22">
        <v>23</v>
      </c>
      <c r="BY5" s="22">
        <v>1.3617278360175928</v>
      </c>
      <c r="BZ5" s="25">
        <v>-0.19298245614035087</v>
      </c>
      <c r="CA5" s="23">
        <v>0.16799821585194843</v>
      </c>
      <c r="CB5" s="23">
        <v>16.799821585194845</v>
      </c>
      <c r="CC5" s="23">
        <v>1.2253046695248622</v>
      </c>
      <c r="CD5" s="23">
        <v>0.12277238883561896</v>
      </c>
      <c r="CE5" s="23">
        <v>5.6162968221135597E-2</v>
      </c>
      <c r="CF5" s="23">
        <v>1.5496083550913837</v>
      </c>
      <c r="CG5" s="23">
        <f t="shared" si="7"/>
        <v>0.4380022248690767</v>
      </c>
      <c r="CH5" s="26">
        <v>12.07</v>
      </c>
      <c r="CI5" s="26">
        <v>13.29</v>
      </c>
      <c r="CJ5" s="26">
        <v>1.0817072700973491</v>
      </c>
      <c r="CK5" s="26">
        <v>1.1235249809427319</v>
      </c>
      <c r="CL5" s="26">
        <v>-9.1798344620014974E-2</v>
      </c>
      <c r="CM5" s="27">
        <v>13.248115384615399</v>
      </c>
      <c r="CN5" s="27">
        <v>-0.17355622376619442</v>
      </c>
      <c r="CQ5" s="27">
        <v>81.715444015443992</v>
      </c>
      <c r="CR5" s="27">
        <v>-0.19958651572060798</v>
      </c>
      <c r="CS5" s="27">
        <v>0.91873076923076902</v>
      </c>
      <c r="CT5" s="27">
        <v>0.9859003831417622</v>
      </c>
      <c r="CU5" s="27">
        <v>-6.8130223965370634E-2</v>
      </c>
      <c r="CV5" s="27">
        <v>1.0315769230769201</v>
      </c>
      <c r="CW5" s="27">
        <v>2.0135016181765892</v>
      </c>
      <c r="CX5" s="28">
        <v>0.94</v>
      </c>
      <c r="CY5" s="28">
        <v>1.07</v>
      </c>
      <c r="CZ5" s="29">
        <v>14.03142308</v>
      </c>
      <c r="DA5" s="27">
        <v>-0.25705803776615366</v>
      </c>
      <c r="DB5" s="27">
        <v>1.72976924253802</v>
      </c>
      <c r="DC5" s="27">
        <v>266.87708664986224</v>
      </c>
      <c r="DD5" s="27">
        <v>2</v>
      </c>
      <c r="DE5" s="28">
        <v>1.24</v>
      </c>
      <c r="DF5" s="28">
        <v>90.620822000000004</v>
      </c>
      <c r="DG5" s="28">
        <v>4.5066840100431405</v>
      </c>
      <c r="DH5" s="28">
        <v>0.89280999999999999</v>
      </c>
      <c r="DI5" s="28">
        <v>1.0176130000000001</v>
      </c>
      <c r="DJ5" s="27">
        <v>1.1000000000000001</v>
      </c>
      <c r="DK5" s="27">
        <v>1.5</v>
      </c>
      <c r="DL5" s="27">
        <v>8.4498661866614921E-3</v>
      </c>
      <c r="DM5" s="27">
        <v>0.84399999999999997</v>
      </c>
      <c r="DN5" s="28">
        <v>0.79300000000000004</v>
      </c>
      <c r="DO5" s="28">
        <v>-0.167628844337147</v>
      </c>
      <c r="DP5" s="28">
        <v>0.14394144754676058</v>
      </c>
      <c r="DQ5" s="27">
        <v>0.11509999999999998</v>
      </c>
      <c r="DR5" s="27">
        <v>3.2347817198611614E-2</v>
      </c>
      <c r="DS5" s="27">
        <v>2.4490842135800685E-2</v>
      </c>
      <c r="DT5" s="27">
        <v>2.6867542601332471E-2</v>
      </c>
      <c r="DU5" s="30">
        <v>5.0767810000000004</v>
      </c>
      <c r="DV5">
        <v>-0.3</v>
      </c>
      <c r="DW5">
        <v>0.7</v>
      </c>
      <c r="DX5">
        <v>90.9</v>
      </c>
      <c r="DY5">
        <v>87.4</v>
      </c>
      <c r="DZ5">
        <v>1.6</v>
      </c>
      <c r="EA5">
        <v>1</v>
      </c>
      <c r="EB5">
        <v>2.1595819999999999</v>
      </c>
    </row>
    <row r="6" spans="1:132" ht="18">
      <c r="A6" s="14" t="s">
        <v>132</v>
      </c>
      <c r="B6" s="14">
        <v>5</v>
      </c>
      <c r="C6" s="14" t="s">
        <v>133</v>
      </c>
      <c r="D6" s="14" t="s">
        <v>134</v>
      </c>
      <c r="E6" s="14" t="s">
        <v>135</v>
      </c>
      <c r="F6" s="15">
        <v>3583</v>
      </c>
      <c r="G6" s="15">
        <v>3.5542468081661105</v>
      </c>
      <c r="H6" s="15">
        <v>752</v>
      </c>
      <c r="I6" s="15">
        <v>0</v>
      </c>
      <c r="J6" s="16">
        <v>2592</v>
      </c>
      <c r="K6" s="16">
        <v>1</v>
      </c>
      <c r="L6" s="17">
        <v>0.13651604053951077</v>
      </c>
      <c r="M6" s="18">
        <v>25</v>
      </c>
      <c r="N6" s="18">
        <v>25</v>
      </c>
      <c r="O6" s="18">
        <v>0.87448559670781889</v>
      </c>
      <c r="P6" s="18">
        <v>2</v>
      </c>
      <c r="Q6" s="18">
        <f t="shared" si="2"/>
        <v>2.5</v>
      </c>
      <c r="R6" s="18">
        <v>25</v>
      </c>
      <c r="S6" s="18">
        <v>6</v>
      </c>
      <c r="T6" s="19">
        <v>7744</v>
      </c>
      <c r="U6" s="19">
        <v>3.8889653443003374</v>
      </c>
      <c r="V6" s="19"/>
      <c r="W6" s="19"/>
      <c r="X6" s="19"/>
      <c r="Y6" s="20">
        <v>0.67015441730000003</v>
      </c>
      <c r="Z6" s="20">
        <f t="shared" si="3"/>
        <v>-0.17382511542691842</v>
      </c>
      <c r="AA6" s="20">
        <v>0.46206373290000002</v>
      </c>
      <c r="AB6" s="20">
        <v>609</v>
      </c>
      <c r="AC6" s="20"/>
      <c r="AD6" s="21">
        <v>4613</v>
      </c>
      <c r="AE6" s="21">
        <f t="shared" si="0"/>
        <v>0.17576011582717366</v>
      </c>
      <c r="AF6" s="21">
        <f t="shared" si="1"/>
        <v>3.6639834546082666</v>
      </c>
      <c r="AG6" s="22">
        <v>6.4771774746628062E-4</v>
      </c>
      <c r="AH6" s="22">
        <v>17</v>
      </c>
      <c r="AI6" s="22">
        <v>2.4964116779999999</v>
      </c>
      <c r="AL6" s="24">
        <v>0.58190562099999998</v>
      </c>
      <c r="AM6" s="22">
        <f>7225+5879</f>
        <v>13104</v>
      </c>
      <c r="AN6" s="22">
        <f t="shared" si="4"/>
        <v>0.49927608016459651</v>
      </c>
      <c r="AO6" s="23">
        <v>0.15975353171024947</v>
      </c>
      <c r="AP6" s="23">
        <v>1.9736065786490644E-2</v>
      </c>
      <c r="AQ6" s="23">
        <v>0.29526058412366651</v>
      </c>
      <c r="AR6" s="23">
        <v>26246</v>
      </c>
      <c r="AS6" s="23">
        <v>4.4190631244925482</v>
      </c>
      <c r="AT6" s="23">
        <v>4.3721937192757343</v>
      </c>
      <c r="AU6" s="22">
        <v>0.86399999999999999</v>
      </c>
      <c r="AV6" s="22">
        <v>0.51508726149999995</v>
      </c>
      <c r="AW6" s="22">
        <v>30.611000000000001</v>
      </c>
      <c r="AX6" s="22">
        <v>22.355</v>
      </c>
      <c r="AY6" s="22">
        <v>1</v>
      </c>
      <c r="AZ6" s="24">
        <v>13308</v>
      </c>
      <c r="BA6" s="24">
        <f t="shared" si="5"/>
        <v>4.1241127921967848</v>
      </c>
      <c r="BB6" s="24">
        <v>5477</v>
      </c>
      <c r="BC6" s="24">
        <f t="shared" si="6"/>
        <v>3.7385427409287852</v>
      </c>
      <c r="BD6" s="24">
        <v>7831</v>
      </c>
      <c r="BE6" s="23">
        <v>2126</v>
      </c>
      <c r="BF6" s="23">
        <f t="shared" si="8"/>
        <v>362</v>
      </c>
      <c r="BG6" s="23">
        <v>0.51640513552068479</v>
      </c>
      <c r="BH6" s="23">
        <v>8.1002819477253671E-2</v>
      </c>
      <c r="BI6" s="23">
        <v>5.95051143839396E-2</v>
      </c>
      <c r="BJ6" s="23">
        <v>2.5612052783444018E-2</v>
      </c>
      <c r="BK6" s="23">
        <v>0.36127491419655766</v>
      </c>
      <c r="BL6" s="23">
        <v>1402</v>
      </c>
      <c r="BM6" s="22">
        <v>4096</v>
      </c>
      <c r="BN6" s="22">
        <f t="shared" si="9"/>
        <v>451</v>
      </c>
      <c r="BO6" s="22">
        <v>3.6123599479677742</v>
      </c>
      <c r="BP6" s="22">
        <v>0.30778479110309587</v>
      </c>
      <c r="BQ6" s="22">
        <v>1.6881414082776491E-2</v>
      </c>
      <c r="BR6" s="22">
        <v>5.6245341879602485E-2</v>
      </c>
      <c r="BS6" s="22">
        <v>-3481</v>
      </c>
      <c r="BT6" s="22">
        <v>3.5417040232842885</v>
      </c>
      <c r="BU6" s="22">
        <v>0.13262973405471309</v>
      </c>
      <c r="BV6" s="23">
        <v>3273</v>
      </c>
      <c r="BW6" s="22">
        <v>6316</v>
      </c>
      <c r="BX6" s="22">
        <v>31.2</v>
      </c>
      <c r="BY6" s="22">
        <v>1.49415459401844</v>
      </c>
      <c r="BZ6" s="25">
        <v>0.35652173913043478</v>
      </c>
      <c r="CA6" s="23">
        <v>5.616296822113559E-2</v>
      </c>
      <c r="CB6" s="23">
        <v>5.6162968221135587</v>
      </c>
      <c r="CC6" s="23">
        <v>0.74945005225557304</v>
      </c>
      <c r="CD6" s="23">
        <v>0.16799821585194843</v>
      </c>
      <c r="CE6" s="23">
        <v>0.12395940006731626</v>
      </c>
      <c r="CF6" s="23">
        <v>1.4703668861712136</v>
      </c>
      <c r="CG6" s="23">
        <f t="shared" si="7"/>
        <v>0.38551195207952871</v>
      </c>
      <c r="CH6" s="26">
        <v>11.56</v>
      </c>
      <c r="CI6" s="26">
        <v>12.07</v>
      </c>
      <c r="CJ6" s="26">
        <v>1.0629578340845103</v>
      </c>
      <c r="CK6" s="26">
        <v>1.0817072700973491</v>
      </c>
      <c r="CL6" s="26">
        <v>-4.2253521126760542E-2</v>
      </c>
      <c r="CM6" s="27">
        <v>13.296884615384608</v>
      </c>
      <c r="CN6" s="27">
        <v>3.6812202606449481E-3</v>
      </c>
      <c r="CQ6" s="27">
        <v>67.989575289575299</v>
      </c>
      <c r="CR6" s="27">
        <v>-0.167971536975</v>
      </c>
      <c r="CS6" s="27">
        <v>0.84238461538461584</v>
      </c>
      <c r="CT6" s="27">
        <v>0.91873076923076902</v>
      </c>
      <c r="CU6" s="27">
        <v>-8.3099593921379125E-2</v>
      </c>
      <c r="CV6" s="27">
        <v>0.92230769230769172</v>
      </c>
      <c r="CW6" s="27">
        <v>1.9648758307920116</v>
      </c>
      <c r="CX6" s="28">
        <v>0.56000000000000005</v>
      </c>
      <c r="CY6" s="28">
        <v>0.94</v>
      </c>
      <c r="CZ6" s="29">
        <v>16.52657692</v>
      </c>
      <c r="DA6" s="27">
        <v>0.17782614249273998</v>
      </c>
      <c r="DB6" s="27">
        <v>1.322681365714484</v>
      </c>
      <c r="DC6" s="27">
        <v>1.72976924253802</v>
      </c>
      <c r="DD6" s="27">
        <v>2</v>
      </c>
      <c r="DE6" s="28">
        <v>0.73</v>
      </c>
      <c r="DF6" s="28">
        <v>92.900801999999999</v>
      </c>
      <c r="DG6" s="28">
        <v>4.5315322787211727</v>
      </c>
      <c r="DH6" s="28">
        <v>0.90663400000000005</v>
      </c>
      <c r="DI6" s="28">
        <v>0.97369099999999997</v>
      </c>
      <c r="DJ6" s="27">
        <v>1.3</v>
      </c>
      <c r="DK6" s="27">
        <v>1.8</v>
      </c>
      <c r="DL6" s="27">
        <v>7.6672365931182819E-3</v>
      </c>
      <c r="DM6" s="27">
        <v>0.75770000000000004</v>
      </c>
      <c r="DN6" s="28">
        <v>0.74250000000000005</v>
      </c>
      <c r="DO6" s="28">
        <v>-6.3682219419924316E-2</v>
      </c>
      <c r="DP6" s="28">
        <v>-0.10225118483412314</v>
      </c>
      <c r="DQ6" s="27">
        <v>9.7799999999999998E-2</v>
      </c>
      <c r="DR6" s="27">
        <v>2.4490842135800685E-2</v>
      </c>
      <c r="DS6" s="27">
        <v>2.77430650961079E-2</v>
      </c>
      <c r="DT6" s="27">
        <v>3.2347817198611614E-2</v>
      </c>
      <c r="DU6" s="30">
        <v>4.6174650000000002</v>
      </c>
      <c r="DV6">
        <v>-0.5</v>
      </c>
      <c r="DW6">
        <v>-0.4</v>
      </c>
      <c r="DX6">
        <v>93.7</v>
      </c>
      <c r="DY6">
        <v>89.8</v>
      </c>
      <c r="DZ6">
        <v>1.6</v>
      </c>
      <c r="EA6">
        <v>1.7</v>
      </c>
      <c r="EB6">
        <v>2.2385109999999999</v>
      </c>
    </row>
    <row r="7" spans="1:132" ht="18">
      <c r="A7" s="14" t="s">
        <v>132</v>
      </c>
      <c r="B7" s="14">
        <v>6</v>
      </c>
      <c r="C7" s="14" t="s">
        <v>133</v>
      </c>
      <c r="D7" s="14" t="s">
        <v>134</v>
      </c>
      <c r="E7" s="14" t="s">
        <v>135</v>
      </c>
      <c r="F7" s="15">
        <v>4704</v>
      </c>
      <c r="G7" s="15">
        <v>3.6724673130680823</v>
      </c>
      <c r="H7" s="15">
        <v>1294</v>
      </c>
      <c r="I7" s="15">
        <v>0</v>
      </c>
      <c r="J7" s="16">
        <v>3027</v>
      </c>
      <c r="K7" s="16">
        <v>1</v>
      </c>
      <c r="L7" s="17">
        <v>0.16390815010975993</v>
      </c>
      <c r="M7" s="18">
        <v>25</v>
      </c>
      <c r="N7" s="18">
        <v>25</v>
      </c>
      <c r="O7" s="18">
        <v>0.87448559670781889</v>
      </c>
      <c r="P7" s="18">
        <v>2</v>
      </c>
      <c r="Q7" s="18">
        <f t="shared" si="2"/>
        <v>2.5</v>
      </c>
      <c r="R7" s="18">
        <v>25</v>
      </c>
      <c r="S7" s="18">
        <v>6</v>
      </c>
      <c r="T7" s="19">
        <v>9374</v>
      </c>
      <c r="U7" s="19">
        <v>3.9719249491841913</v>
      </c>
      <c r="V7" s="20"/>
      <c r="W7" s="20"/>
      <c r="X7" s="20"/>
      <c r="Y7" s="20">
        <v>0.69411388870000001</v>
      </c>
      <c r="Z7" s="20">
        <f t="shared" si="3"/>
        <v>-0.15856926560279169</v>
      </c>
      <c r="AA7" s="20">
        <v>0.48314606739999999</v>
      </c>
      <c r="AB7" s="20">
        <v>731</v>
      </c>
      <c r="AC7" s="20"/>
      <c r="AD7" s="21">
        <v>4737</v>
      </c>
      <c r="AE7" s="21">
        <f t="shared" si="0"/>
        <v>0.1650580159587442</v>
      </c>
      <c r="AF7" s="21">
        <f t="shared" si="1"/>
        <v>3.6755033847279566</v>
      </c>
      <c r="AG7" s="22">
        <v>6.9688839332380918E-4</v>
      </c>
      <c r="AH7" s="22">
        <v>20</v>
      </c>
      <c r="AI7" s="22">
        <v>2.5702018350000002</v>
      </c>
      <c r="AL7" s="24">
        <v>0.64961884999999997</v>
      </c>
      <c r="AM7" s="22">
        <f>7104+6685</f>
        <v>13789</v>
      </c>
      <c r="AN7" s="22">
        <f t="shared" si="4"/>
        <v>0.48046970277710027</v>
      </c>
      <c r="AO7" s="23">
        <v>0.21122661122661124</v>
      </c>
      <c r="AP7" s="23">
        <v>2.5736539758180861E-2</v>
      </c>
      <c r="AQ7" s="23">
        <v>0.41055015620683599</v>
      </c>
      <c r="AR7" s="23">
        <v>28699</v>
      </c>
      <c r="AS7" s="23">
        <v>4.457866764258446</v>
      </c>
      <c r="AT7" s="23">
        <v>4.4190631244925482</v>
      </c>
      <c r="AU7" s="22">
        <v>0.83899999999999997</v>
      </c>
      <c r="AV7" s="22">
        <v>3.2424220180000001</v>
      </c>
      <c r="AW7" s="22">
        <v>35.018999999999998</v>
      </c>
      <c r="AX7" s="22">
        <v>30.611000000000001</v>
      </c>
      <c r="AY7" s="22">
        <v>1</v>
      </c>
      <c r="AZ7" s="24">
        <v>14430</v>
      </c>
      <c r="BA7" s="24">
        <f t="shared" si="5"/>
        <v>4.1592663310934945</v>
      </c>
      <c r="BB7" s="24">
        <v>5936</v>
      </c>
      <c r="BC7" s="24">
        <f t="shared" si="6"/>
        <v>3.7734938922709707</v>
      </c>
      <c r="BD7" s="24">
        <v>8494</v>
      </c>
      <c r="BE7" s="23">
        <v>3048</v>
      </c>
      <c r="BF7" s="23">
        <f t="shared" si="8"/>
        <v>461</v>
      </c>
      <c r="BG7" s="23">
        <v>0.4336782690498589</v>
      </c>
      <c r="BH7" s="23">
        <v>0.10620579114254852</v>
      </c>
      <c r="BI7" s="23">
        <v>8.1002819477253671E-2</v>
      </c>
      <c r="BJ7" s="23">
        <v>2.5612052783444E-2</v>
      </c>
      <c r="BK7" s="23">
        <v>0.31113696816901631</v>
      </c>
      <c r="BL7" s="23">
        <v>2126</v>
      </c>
      <c r="BM7" s="22">
        <v>5090</v>
      </c>
      <c r="BN7" s="22">
        <f t="shared" si="9"/>
        <v>497</v>
      </c>
      <c r="BO7" s="22">
        <v>3.7067177823367587</v>
      </c>
      <c r="BP7" s="22">
        <v>0.35273735273735274</v>
      </c>
      <c r="BQ7" s="22">
        <v>2.2476280817128436E-2</v>
      </c>
      <c r="BR7" s="22">
        <v>1.6881414082776491E-2</v>
      </c>
      <c r="BS7" s="22">
        <v>-2358</v>
      </c>
      <c r="BT7" s="22">
        <v>3.3725438007590705</v>
      </c>
      <c r="BU7" s="22">
        <v>8.2163141572877102E-2</v>
      </c>
      <c r="BV7" s="23">
        <v>3328</v>
      </c>
      <c r="BW7" s="22">
        <v>44178</v>
      </c>
      <c r="BX7" s="22">
        <v>35.6</v>
      </c>
      <c r="BY7" s="22">
        <v>1.5514499979728751</v>
      </c>
      <c r="BZ7" s="25">
        <v>0.14102564102564111</v>
      </c>
      <c r="CA7" s="23">
        <v>0.12395940006731626</v>
      </c>
      <c r="CB7" s="23">
        <v>12.395940006731626</v>
      </c>
      <c r="CC7" s="23">
        <v>1.0932794656949918</v>
      </c>
      <c r="CD7" s="23">
        <v>5.616296822113559E-2</v>
      </c>
      <c r="CE7" s="23">
        <v>0.27313997209053248</v>
      </c>
      <c r="CF7" s="23">
        <v>1.4460093896713615</v>
      </c>
      <c r="CG7" s="23">
        <f t="shared" si="7"/>
        <v>0.36880761726414935</v>
      </c>
      <c r="CH7" s="26">
        <v>22.5</v>
      </c>
      <c r="CI7" s="26">
        <v>11.56</v>
      </c>
      <c r="CJ7" s="26">
        <v>1.3521825181113625</v>
      </c>
      <c r="CK7" s="26">
        <v>1.0629578340845103</v>
      </c>
      <c r="CL7" s="26">
        <v>0.94636678200692037</v>
      </c>
      <c r="CM7" s="27">
        <v>18.34360153256705</v>
      </c>
      <c r="CN7" s="27">
        <v>0.37954130333231201</v>
      </c>
      <c r="CQ7" s="27">
        <v>77.833846153846167</v>
      </c>
      <c r="CR7" s="27">
        <v>0.14479088628430173</v>
      </c>
      <c r="CS7" s="27">
        <v>0.72605363984674265</v>
      </c>
      <c r="CT7" s="27">
        <v>0.84238461538461584</v>
      </c>
      <c r="CU7" s="27">
        <v>-0.13809722235342442</v>
      </c>
      <c r="CV7" s="27">
        <v>0.78180076628352502</v>
      </c>
      <c r="CW7" s="27">
        <v>1.8930960917710087</v>
      </c>
      <c r="CX7" s="28">
        <v>0.88</v>
      </c>
      <c r="CY7" s="28">
        <v>0.56000000000000005</v>
      </c>
      <c r="CZ7" s="29">
        <v>19.614636019999999</v>
      </c>
      <c r="DA7" s="27">
        <v>0.18685412683753744</v>
      </c>
      <c r="DB7" s="27">
        <v>2.3607257116750975</v>
      </c>
      <c r="DC7" s="27">
        <v>1.322681365714484</v>
      </c>
      <c r="DD7" s="27">
        <v>2</v>
      </c>
      <c r="DE7" s="28">
        <v>0.05</v>
      </c>
      <c r="DF7" s="28">
        <v>95.071543000000005</v>
      </c>
      <c r="DG7" s="28">
        <v>4.5546296923854399</v>
      </c>
      <c r="DH7" s="28">
        <v>0.91960200000000003</v>
      </c>
      <c r="DI7" s="28">
        <v>1.0062469999999999</v>
      </c>
      <c r="DJ7" s="27">
        <v>1.9</v>
      </c>
      <c r="DK7" s="27">
        <v>1.8</v>
      </c>
      <c r="DL7" s="27">
        <v>1.679984422560547E-2</v>
      </c>
      <c r="DM7" s="27">
        <v>0.6855</v>
      </c>
      <c r="DN7" s="28">
        <v>0.84760000000000002</v>
      </c>
      <c r="DO7" s="28">
        <v>0.14154882154882151</v>
      </c>
      <c r="DP7" s="28">
        <v>-9.5288372706876123E-2</v>
      </c>
      <c r="DQ7" s="27">
        <v>0.10279999999999989</v>
      </c>
      <c r="DR7" s="27">
        <v>2.77430650961079E-2</v>
      </c>
      <c r="DS7" s="27">
        <v>5.0662060808238797E-2</v>
      </c>
      <c r="DT7" s="27">
        <v>2.4490842135800699E-2</v>
      </c>
      <c r="DU7" s="30">
        <v>4.6191050000000002</v>
      </c>
      <c r="DV7">
        <v>-0.9</v>
      </c>
      <c r="DW7">
        <v>-0.7</v>
      </c>
      <c r="DX7">
        <v>96.2</v>
      </c>
      <c r="DY7">
        <v>92.4</v>
      </c>
      <c r="DZ7">
        <v>2.1</v>
      </c>
      <c r="EA7">
        <v>1.9</v>
      </c>
      <c r="EB7">
        <v>2.1588159999999998</v>
      </c>
    </row>
    <row r="8" spans="1:132" ht="18">
      <c r="A8" s="14" t="s">
        <v>132</v>
      </c>
      <c r="B8" s="14">
        <v>7</v>
      </c>
      <c r="C8" s="14" t="s">
        <v>133</v>
      </c>
      <c r="D8" s="14" t="s">
        <v>134</v>
      </c>
      <c r="E8" s="14" t="s">
        <v>135</v>
      </c>
      <c r="F8" s="15">
        <v>4275</v>
      </c>
      <c r="G8" s="15">
        <v>3.6309361190641916</v>
      </c>
      <c r="H8" s="15">
        <v>2110</v>
      </c>
      <c r="I8" s="15">
        <v>0</v>
      </c>
      <c r="J8" s="16">
        <v>2150</v>
      </c>
      <c r="K8" s="16">
        <v>1</v>
      </c>
      <c r="L8" s="17">
        <v>5.2574619064602215E-2</v>
      </c>
      <c r="M8" s="18">
        <v>25</v>
      </c>
      <c r="N8" s="18">
        <v>25</v>
      </c>
      <c r="O8" s="18">
        <v>0.87448559670781889</v>
      </c>
      <c r="P8" s="18">
        <v>2</v>
      </c>
      <c r="Q8" s="18">
        <f t="shared" si="2"/>
        <v>2.5</v>
      </c>
      <c r="R8" s="18">
        <v>25</v>
      </c>
      <c r="S8" s="18">
        <v>6</v>
      </c>
      <c r="T8" s="19">
        <v>10170</v>
      </c>
      <c r="U8" s="19">
        <v>4.0073209529227443</v>
      </c>
      <c r="V8" s="20"/>
      <c r="W8" s="20"/>
      <c r="X8" s="20"/>
      <c r="Y8" s="20">
        <v>0.90110815170000003</v>
      </c>
      <c r="Z8" s="20">
        <f t="shared" si="3"/>
        <v>-4.5223081531773242E-2</v>
      </c>
      <c r="AA8" s="20">
        <v>0.59022118739999996</v>
      </c>
      <c r="AB8" s="20">
        <v>1014</v>
      </c>
      <c r="AC8" s="20"/>
      <c r="AD8" s="31">
        <v>40201</v>
      </c>
      <c r="AE8" s="21">
        <f t="shared" si="0"/>
        <v>0.49439818971136229</v>
      </c>
      <c r="AF8" s="21">
        <f t="shared" si="1"/>
        <v>4.6042368562954232</v>
      </c>
      <c r="AG8" s="22">
        <v>6.395041383296644E-4</v>
      </c>
      <c r="AH8" s="22">
        <v>52</v>
      </c>
      <c r="AI8" s="22">
        <v>1.6470916529999999</v>
      </c>
      <c r="AL8" s="24">
        <v>0.63159855899999995</v>
      </c>
      <c r="AM8" s="22">
        <f>46208+17550</f>
        <v>63758</v>
      </c>
      <c r="AN8" s="22">
        <f t="shared" si="4"/>
        <v>0.78410586253120662</v>
      </c>
      <c r="AO8" s="23">
        <v>0.13035647745621662</v>
      </c>
      <c r="AP8" s="23">
        <v>4.0435066885197345E-2</v>
      </c>
      <c r="AQ8" s="23">
        <v>0.60675816583041398</v>
      </c>
      <c r="AR8" s="23">
        <v>81313</v>
      </c>
      <c r="AS8" s="23">
        <v>4.9101599844246264</v>
      </c>
      <c r="AT8" s="23">
        <v>4.457866764258446</v>
      </c>
      <c r="AU8" s="22">
        <v>3.2080000000000002</v>
      </c>
      <c r="AV8" s="22">
        <v>2.6768572490000002</v>
      </c>
      <c r="AW8" s="22">
        <v>26.561</v>
      </c>
      <c r="AX8" s="22">
        <v>35.018999999999998</v>
      </c>
      <c r="AY8" s="22">
        <v>1</v>
      </c>
      <c r="AZ8" s="24">
        <v>16102</v>
      </c>
      <c r="BA8" s="24">
        <f t="shared" si="5"/>
        <v>4.2068798223063002</v>
      </c>
      <c r="BB8" s="24">
        <v>7122</v>
      </c>
      <c r="BC8" s="24">
        <f t="shared" si="6"/>
        <v>3.852601969338235</v>
      </c>
      <c r="BD8" s="24">
        <v>8980</v>
      </c>
      <c r="BE8" s="23">
        <v>2099</v>
      </c>
      <c r="BF8" s="23">
        <f t="shared" si="8"/>
        <v>474.5</v>
      </c>
      <c r="BG8" s="23">
        <v>-0.31135170603674539</v>
      </c>
      <c r="BH8" s="23">
        <v>2.581383050680703E-2</v>
      </c>
      <c r="BI8" s="23">
        <v>0.10620579114254852</v>
      </c>
      <c r="BJ8" s="23">
        <v>2.5612052783444018E-2</v>
      </c>
      <c r="BK8" s="23">
        <v>-0.7569451700410581</v>
      </c>
      <c r="BL8" s="23">
        <v>3048</v>
      </c>
      <c r="BM8" s="22">
        <v>5601</v>
      </c>
      <c r="BN8" s="22">
        <f t="shared" si="9"/>
        <v>255.5</v>
      </c>
      <c r="BO8" s="22">
        <v>3.7482655726687408</v>
      </c>
      <c r="BP8" s="22">
        <v>0.34784498820022358</v>
      </c>
      <c r="BQ8" s="22">
        <v>2.4461822685645784E-3</v>
      </c>
      <c r="BR8" s="22">
        <v>2.2476280817128436E-2</v>
      </c>
      <c r="BS8" s="22">
        <v>-42164</v>
      </c>
      <c r="BT8" s="22">
        <v>4.6249418046599935</v>
      </c>
      <c r="BU8" s="22">
        <v>0.5185394709333071</v>
      </c>
      <c r="BV8" s="23">
        <v>3743</v>
      </c>
      <c r="BW8" s="22">
        <v>43167</v>
      </c>
      <c r="BX8" s="22">
        <v>16.600000000000001</v>
      </c>
      <c r="BY8" s="22">
        <v>1.2201080880400552</v>
      </c>
      <c r="BZ8" s="25">
        <v>-0.5337078651685393</v>
      </c>
      <c r="CA8" s="23">
        <v>0.27313997209053248</v>
      </c>
      <c r="CB8" s="23">
        <v>27.313997209053248</v>
      </c>
      <c r="CC8" s="23">
        <v>1.4363852606965082</v>
      </c>
      <c r="CD8" s="23">
        <v>0.12395940006731626</v>
      </c>
      <c r="CE8" s="23">
        <v>0.22768051426072636</v>
      </c>
      <c r="CF8" s="23">
        <v>3.9156626506024095</v>
      </c>
      <c r="CG8" s="23">
        <f t="shared" si="7"/>
        <v>1.3649845745331395</v>
      </c>
      <c r="CH8" s="26">
        <v>40</v>
      </c>
      <c r="CI8" s="26">
        <v>22.5</v>
      </c>
      <c r="CJ8" s="26">
        <v>1.6020599913279623</v>
      </c>
      <c r="CK8" s="26">
        <v>1.3521825181113625</v>
      </c>
      <c r="CL8" s="26">
        <v>0.77777777777777779</v>
      </c>
      <c r="CM8" s="27">
        <v>34.430804597701169</v>
      </c>
      <c r="CN8" s="27">
        <v>0.87699261437690179</v>
      </c>
      <c r="CO8" s="27">
        <v>14.002720000000007</v>
      </c>
      <c r="CQ8" s="27">
        <v>141.16230769230771</v>
      </c>
      <c r="CR8" s="27">
        <v>0.81363654332700808</v>
      </c>
      <c r="CS8" s="27">
        <v>1.4151340996168575</v>
      </c>
      <c r="CT8" s="27">
        <v>0.72605363984674265</v>
      </c>
      <c r="CU8" s="27">
        <v>0.94907651715039654</v>
      </c>
      <c r="CV8" s="27">
        <v>1.549389312977099</v>
      </c>
      <c r="CW8" s="27">
        <v>2.1901605560639821</v>
      </c>
      <c r="CX8" s="28">
        <v>2.34</v>
      </c>
      <c r="CY8" s="28">
        <v>0.88</v>
      </c>
      <c r="CZ8" s="29">
        <v>33.709007630000002</v>
      </c>
      <c r="DA8" s="27">
        <v>0.71856401493398725</v>
      </c>
      <c r="DB8" s="27">
        <v>3.14303994919285</v>
      </c>
      <c r="DC8" s="27">
        <v>2.3607257116750975</v>
      </c>
      <c r="DD8" s="27">
        <v>2</v>
      </c>
      <c r="DE8" s="28">
        <v>-0.21</v>
      </c>
      <c r="DF8" s="28">
        <v>96.901936000000006</v>
      </c>
      <c r="DG8" s="28">
        <v>4.5736994980573007</v>
      </c>
      <c r="DH8" s="28">
        <v>0.93640199999999996</v>
      </c>
      <c r="DI8" s="28">
        <v>0.90564299999999998</v>
      </c>
      <c r="DJ8" s="27">
        <v>2.4</v>
      </c>
      <c r="DK8" s="27">
        <v>2</v>
      </c>
      <c r="DL8" s="27">
        <v>4.1965997035105826E-2</v>
      </c>
      <c r="DM8" s="27">
        <v>0.71560000000000001</v>
      </c>
      <c r="DN8" s="28">
        <v>0.75849999999999995</v>
      </c>
      <c r="DO8" s="28">
        <v>-0.10512033978291654</v>
      </c>
      <c r="DP8" s="28">
        <v>4.3909555069292512E-2</v>
      </c>
      <c r="DQ8" s="27">
        <v>0.17789999999999995</v>
      </c>
      <c r="DR8" s="27">
        <v>5.0662060808238797E-2</v>
      </c>
      <c r="DS8" s="27">
        <v>3.802148779895468E-2</v>
      </c>
      <c r="DT8" s="27">
        <v>2.77430650961079E-2</v>
      </c>
      <c r="DU8" s="30">
        <v>5.7984980000000004</v>
      </c>
      <c r="DV8">
        <v>-1</v>
      </c>
      <c r="DW8">
        <v>0.7</v>
      </c>
      <c r="DX8">
        <v>98</v>
      </c>
      <c r="DY8">
        <v>95</v>
      </c>
      <c r="DZ8">
        <v>1.6</v>
      </c>
      <c r="EA8">
        <v>1.7</v>
      </c>
      <c r="EB8">
        <v>2.0603549999999999</v>
      </c>
    </row>
    <row r="9" spans="1:132" ht="18">
      <c r="A9" s="14" t="s">
        <v>132</v>
      </c>
      <c r="B9" s="14">
        <v>8</v>
      </c>
      <c r="C9" s="14" t="s">
        <v>133</v>
      </c>
      <c r="D9" s="14" t="s">
        <v>134</v>
      </c>
      <c r="E9" s="14" t="s">
        <v>135</v>
      </c>
      <c r="F9" s="15">
        <v>7077</v>
      </c>
      <c r="G9" s="15">
        <v>3.8498491956052581</v>
      </c>
      <c r="H9" s="15">
        <v>1992</v>
      </c>
      <c r="I9" s="15">
        <v>413</v>
      </c>
      <c r="J9" s="16">
        <v>3697.7750999999998</v>
      </c>
      <c r="K9" s="16">
        <v>1</v>
      </c>
      <c r="L9" s="17">
        <v>9.1827552216702121E-2</v>
      </c>
      <c r="M9" s="18">
        <v>25</v>
      </c>
      <c r="N9" s="18">
        <v>25</v>
      </c>
      <c r="O9" s="18">
        <v>0.87448559670781889</v>
      </c>
      <c r="P9" s="18">
        <v>2</v>
      </c>
      <c r="Q9" s="18">
        <f t="shared" si="2"/>
        <v>2.5</v>
      </c>
      <c r="R9" s="18">
        <v>25</v>
      </c>
      <c r="S9" s="18">
        <v>6</v>
      </c>
      <c r="T9" s="19">
        <v>18251</v>
      </c>
      <c r="U9" s="19">
        <v>4.2612866650984582</v>
      </c>
      <c r="V9" s="20"/>
      <c r="W9" s="20"/>
      <c r="X9" s="20"/>
      <c r="Y9" s="20">
        <v>0.91959166820000005</v>
      </c>
      <c r="Z9" s="20">
        <f t="shared" si="3"/>
        <v>-3.6404972234377143E-2</v>
      </c>
      <c r="AA9" s="20">
        <v>0.7434491164</v>
      </c>
      <c r="AB9" s="20">
        <v>1220</v>
      </c>
      <c r="AC9" s="20"/>
      <c r="AD9" s="21">
        <v>4737</v>
      </c>
      <c r="AE9" s="21">
        <f t="shared" si="0"/>
        <v>6.1464902479937543E-2</v>
      </c>
      <c r="AF9" s="21">
        <f t="shared" si="1"/>
        <v>3.6755033847279566</v>
      </c>
      <c r="AG9" s="22">
        <v>1.4130193290379915E-3</v>
      </c>
      <c r="AH9" s="22">
        <v>159</v>
      </c>
      <c r="AI9" s="22">
        <v>1.9257866610000001</v>
      </c>
      <c r="AL9" s="24">
        <v>0.72496524299999998</v>
      </c>
      <c r="AM9" s="22">
        <f>65100+14254</f>
        <v>79354</v>
      </c>
      <c r="AN9" s="22">
        <f t="shared" si="4"/>
        <v>1.0296571398338534</v>
      </c>
      <c r="AO9" s="23">
        <v>0.15988083416087387</v>
      </c>
      <c r="AP9" s="23">
        <v>1.4762178352328605E-2</v>
      </c>
      <c r="AQ9" s="23">
        <v>0.16915044804202048</v>
      </c>
      <c r="AR9" s="23">
        <v>77068.372499999998</v>
      </c>
      <c r="AS9" s="23">
        <v>4.8868761878204143</v>
      </c>
      <c r="AT9" s="23">
        <v>4.9101599844246264</v>
      </c>
      <c r="AU9" s="22">
        <v>2.06</v>
      </c>
      <c r="AV9" s="22">
        <v>1.1269104590000001</v>
      </c>
      <c r="AW9" s="22">
        <v>58.386000000000003</v>
      </c>
      <c r="AX9" s="22">
        <v>26.561</v>
      </c>
      <c r="AY9" s="22">
        <v>2</v>
      </c>
      <c r="AZ9" s="24">
        <v>25175</v>
      </c>
      <c r="BA9" s="24">
        <f t="shared" si="5"/>
        <v>4.4009694792256555</v>
      </c>
      <c r="BB9" s="24">
        <v>11779</v>
      </c>
      <c r="BC9" s="24">
        <f t="shared" si="6"/>
        <v>4.0711084217824496</v>
      </c>
      <c r="BD9" s="24">
        <v>13396</v>
      </c>
      <c r="BE9" s="23">
        <v>4025</v>
      </c>
      <c r="BF9" s="23">
        <f t="shared" si="8"/>
        <v>963</v>
      </c>
      <c r="BG9" s="23">
        <v>0.9175797999047165</v>
      </c>
      <c r="BH9" s="23">
        <v>5.2226352645503189E-2</v>
      </c>
      <c r="BI9" s="23">
        <v>2.581383050680703E-2</v>
      </c>
      <c r="BJ9" s="23">
        <v>2.5612052783444018E-2</v>
      </c>
      <c r="BK9" s="23">
        <v>1.0231926692061939</v>
      </c>
      <c r="BL9" s="23">
        <v>2099</v>
      </c>
      <c r="BM9" s="22">
        <v>9124</v>
      </c>
      <c r="BN9" s="22">
        <f t="shared" si="9"/>
        <v>1761.5</v>
      </c>
      <c r="BO9" s="22">
        <v>3.9601852766046108</v>
      </c>
      <c r="BP9" s="22">
        <v>0.3624230387288977</v>
      </c>
      <c r="BQ9" s="22">
        <v>7.2890252643370568E-3</v>
      </c>
      <c r="BR9" s="22">
        <v>2.4461822685645784E-3</v>
      </c>
      <c r="BS9" s="22">
        <v>5269</v>
      </c>
      <c r="BT9" s="22"/>
      <c r="BU9" s="22">
        <v>-6.8367863873082316E-2</v>
      </c>
      <c r="BV9" s="23">
        <v>7827</v>
      </c>
      <c r="BW9" s="22">
        <v>34165.671300000002</v>
      </c>
      <c r="BX9" s="22">
        <v>36.4</v>
      </c>
      <c r="BY9" s="22">
        <v>1.5611013836490559</v>
      </c>
      <c r="BZ9" s="25">
        <v>1.1927710843373491</v>
      </c>
      <c r="CA9" s="23">
        <v>0.22768051426072636</v>
      </c>
      <c r="CB9" s="23">
        <v>22.768051426072635</v>
      </c>
      <c r="CC9" s="23">
        <v>1.3573258636798766</v>
      </c>
      <c r="CD9" s="23">
        <v>0.27313997209053248</v>
      </c>
      <c r="CE9" s="23">
        <v>5.2225758931015019E-2</v>
      </c>
      <c r="CF9" s="23">
        <v>2.2521419828641371</v>
      </c>
      <c r="CG9" s="23">
        <f t="shared" si="7"/>
        <v>0.81188175574302845</v>
      </c>
      <c r="CH9" s="26">
        <v>21.68</v>
      </c>
      <c r="CI9" s="26">
        <v>40</v>
      </c>
      <c r="CJ9" s="26">
        <v>1.3360592778663494</v>
      </c>
      <c r="CK9" s="26">
        <v>1.6020599913279623</v>
      </c>
      <c r="CL9" s="26">
        <v>-0.45800000000000002</v>
      </c>
      <c r="CM9" s="27">
        <v>32.806781609195411</v>
      </c>
      <c r="CN9" s="27">
        <v>-4.7167732717294325E-2</v>
      </c>
      <c r="CO9" s="27">
        <v>14.687391304347829</v>
      </c>
      <c r="CP9" s="27">
        <v>4.8895593452402179E-2</v>
      </c>
      <c r="CQ9" s="27">
        <v>128.33115384615388</v>
      </c>
      <c r="CR9" s="27">
        <v>-9.0896458522922177E-2</v>
      </c>
      <c r="CS9" s="27">
        <v>1.3546743295019157</v>
      </c>
      <c r="CT9" s="27">
        <v>1.4151340996168575</v>
      </c>
      <c r="CU9" s="27">
        <v>-4.272370380397951E-2</v>
      </c>
      <c r="CV9" s="27">
        <v>1.5608045977011498</v>
      </c>
      <c r="CW9" s="27">
        <v>2.1933485357004661</v>
      </c>
      <c r="CX9" s="28">
        <v>1.03</v>
      </c>
      <c r="CY9" s="28">
        <v>2.34</v>
      </c>
      <c r="CZ9" s="29">
        <v>33.580881230000003</v>
      </c>
      <c r="DA9" s="27">
        <v>-3.8009543741646867E-3</v>
      </c>
      <c r="DB9" s="27">
        <v>1.4102002336892525</v>
      </c>
      <c r="DC9" s="27">
        <v>3.1430399491928545</v>
      </c>
      <c r="DD9" s="27">
        <v>2</v>
      </c>
      <c r="DE9" s="28">
        <v>2.68</v>
      </c>
      <c r="DF9" s="28">
        <v>98.004704000000004</v>
      </c>
      <c r="DG9" s="28">
        <v>4.5850154775186089</v>
      </c>
      <c r="DH9" s="28">
        <v>0.95602100000000001</v>
      </c>
      <c r="DI9" s="28">
        <v>0.97401599999999999</v>
      </c>
      <c r="DJ9" s="27">
        <v>2.7</v>
      </c>
      <c r="DK9" s="27">
        <v>2.6</v>
      </c>
      <c r="DL9" s="27">
        <v>2.4369778879479467E-2</v>
      </c>
      <c r="DM9" s="27">
        <v>0.69779999999999998</v>
      </c>
      <c r="DN9" s="28">
        <v>0.68400000000000005</v>
      </c>
      <c r="DO9" s="28">
        <v>-9.8220171390902972E-2</v>
      </c>
      <c r="DP9" s="28">
        <v>-2.487423141419793E-2</v>
      </c>
      <c r="DQ9" s="27">
        <v>0.13560000000000005</v>
      </c>
      <c r="DR9" s="27">
        <v>3.802148779895468E-2</v>
      </c>
      <c r="DS9" s="27">
        <v>3.4239891893164599E-2</v>
      </c>
      <c r="DT9" s="27">
        <v>5.0662060808238797E-2</v>
      </c>
      <c r="DU9" s="30">
        <v>9.2708490000000001</v>
      </c>
      <c r="DV9">
        <v>2.2000000000000002</v>
      </c>
      <c r="DW9">
        <v>2.6</v>
      </c>
      <c r="DX9">
        <v>98.8</v>
      </c>
      <c r="DY9">
        <v>96.9</v>
      </c>
      <c r="DZ9">
        <v>1.3</v>
      </c>
      <c r="EA9">
        <v>2.5</v>
      </c>
      <c r="EB9">
        <v>1.1868369999999999</v>
      </c>
    </row>
    <row r="10" spans="1:132" ht="18">
      <c r="A10" s="14" t="s">
        <v>132</v>
      </c>
      <c r="B10" s="14">
        <v>9</v>
      </c>
      <c r="C10" s="14" t="s">
        <v>133</v>
      </c>
      <c r="D10" s="14" t="s">
        <v>134</v>
      </c>
      <c r="E10" s="14" t="s">
        <v>135</v>
      </c>
      <c r="F10" s="32">
        <v>9404</v>
      </c>
      <c r="G10" s="15">
        <v>3.9733126204529019</v>
      </c>
      <c r="H10" s="15">
        <v>2391.86</v>
      </c>
      <c r="I10" s="15">
        <v>0</v>
      </c>
      <c r="J10" s="16">
        <v>5043.4956000000002</v>
      </c>
      <c r="K10" s="16">
        <v>1</v>
      </c>
      <c r="L10" s="17">
        <v>0.10870274198574702</v>
      </c>
      <c r="M10" s="18">
        <v>25</v>
      </c>
      <c r="N10" s="18">
        <v>25</v>
      </c>
      <c r="O10" s="18">
        <v>0.87448559670781889</v>
      </c>
      <c r="P10" s="18">
        <v>2</v>
      </c>
      <c r="Q10" s="18">
        <f t="shared" si="2"/>
        <v>2.5</v>
      </c>
      <c r="R10" s="18">
        <v>25</v>
      </c>
      <c r="S10" s="18">
        <v>6</v>
      </c>
      <c r="T10" s="19">
        <v>22140</v>
      </c>
      <c r="U10" s="19">
        <v>4.3451776165427036</v>
      </c>
      <c r="V10" s="20"/>
      <c r="W10" s="20"/>
      <c r="X10" s="20"/>
      <c r="Y10" s="20">
        <v>0.92571808379999998</v>
      </c>
      <c r="Z10" s="20">
        <f t="shared" si="3"/>
        <v>-3.3521252293357034E-2</v>
      </c>
      <c r="AA10" s="20">
        <v>0.8077093487</v>
      </c>
      <c r="AB10" s="20">
        <v>1823</v>
      </c>
      <c r="AC10" s="20"/>
      <c r="AD10" s="21">
        <v>37673</v>
      </c>
      <c r="AE10" s="21">
        <f t="shared" si="0"/>
        <v>0.43546984249564519</v>
      </c>
      <c r="AF10" s="21">
        <f t="shared" si="1"/>
        <v>4.57603020559133</v>
      </c>
      <c r="AG10" s="22">
        <v>1.6092074653233283E-3</v>
      </c>
      <c r="AH10" s="22">
        <v>184</v>
      </c>
      <c r="AI10" s="22">
        <v>1.933577243</v>
      </c>
      <c r="AL10" s="24">
        <v>0.80620493800000004</v>
      </c>
      <c r="AM10" s="22">
        <f>59823+15720</f>
        <v>75543</v>
      </c>
      <c r="AN10" s="22">
        <f t="shared" si="4"/>
        <v>0.87321684791889476</v>
      </c>
      <c r="AO10" s="23">
        <v>0.15874772412788579</v>
      </c>
      <c r="AP10" s="23">
        <v>5.6655501649403861E-4</v>
      </c>
      <c r="AQ10" s="23">
        <v>-1.2467579106909104</v>
      </c>
      <c r="AR10" s="23">
        <v>86511.157200000001</v>
      </c>
      <c r="AS10" s="23">
        <v>4.9370721213136157</v>
      </c>
      <c r="AT10" s="23">
        <v>4.8868761878204143</v>
      </c>
      <c r="AU10" s="22">
        <v>1.681</v>
      </c>
      <c r="AV10" s="22">
        <v>0.96067735899999995</v>
      </c>
      <c r="AW10" s="22">
        <v>68.176000000000002</v>
      </c>
      <c r="AX10" s="22">
        <v>58.386000000000003</v>
      </c>
      <c r="AY10" s="22">
        <v>2</v>
      </c>
      <c r="AZ10" s="24">
        <v>27462</v>
      </c>
      <c r="BA10" s="24">
        <f t="shared" si="5"/>
        <v>4.4387321628109433</v>
      </c>
      <c r="BB10" s="24">
        <v>12219</v>
      </c>
      <c r="BC10" s="24">
        <f t="shared" si="6"/>
        <v>4.0870356648056605</v>
      </c>
      <c r="BD10" s="24">
        <v>15243</v>
      </c>
      <c r="BE10" s="23">
        <v>4359.53</v>
      </c>
      <c r="BF10" s="23">
        <f t="shared" si="8"/>
        <v>167.26499999999987</v>
      </c>
      <c r="BG10" s="23">
        <v>8.3113043478260804E-2</v>
      </c>
      <c r="BH10" s="23">
        <v>5.0392690851672015E-2</v>
      </c>
      <c r="BI10" s="23">
        <v>5.2226352645503189E-2</v>
      </c>
      <c r="BJ10" s="23">
        <v>2.5612052783444018E-2</v>
      </c>
      <c r="BK10" s="23">
        <v>-3.5109895693415945E-2</v>
      </c>
      <c r="BL10" s="23">
        <v>4025</v>
      </c>
      <c r="BM10" s="22">
        <v>9905</v>
      </c>
      <c r="BN10" s="22">
        <f t="shared" si="9"/>
        <v>390.5</v>
      </c>
      <c r="BO10" s="22">
        <v>3.9958544798745659</v>
      </c>
      <c r="BP10" s="22">
        <v>0.36068021265749034</v>
      </c>
      <c r="BQ10" s="22">
        <v>8.7141303570367756E-4</v>
      </c>
      <c r="BR10" s="22">
        <v>7.2890252643370568E-3</v>
      </c>
      <c r="BS10" s="22">
        <v>-2546</v>
      </c>
      <c r="BT10" s="22">
        <v>3.4058583993176366</v>
      </c>
      <c r="BU10" s="22">
        <v>2.9429730018684805E-2</v>
      </c>
      <c r="BV10" s="23">
        <v>9303</v>
      </c>
      <c r="BW10" s="22">
        <v>33872.523000000001</v>
      </c>
      <c r="BX10" s="22">
        <v>42.8</v>
      </c>
      <c r="BY10" s="22">
        <v>1.631443769013172</v>
      </c>
      <c r="BZ10" s="25">
        <v>0.17582417582417578</v>
      </c>
      <c r="CA10" s="23">
        <v>5.2225758931015019E-2</v>
      </c>
      <c r="CB10" s="23">
        <v>5.2225758931015021</v>
      </c>
      <c r="CC10" s="23">
        <v>0.71788475975157318</v>
      </c>
      <c r="CD10" s="23">
        <v>0.22768051426072636</v>
      </c>
      <c r="CE10" s="23">
        <v>9.4541820773390697E-2</v>
      </c>
      <c r="CF10" s="23">
        <v>1.3829850746268657</v>
      </c>
      <c r="CG10" s="23">
        <f t="shared" si="7"/>
        <v>0.3242442605975363</v>
      </c>
      <c r="CH10" s="26">
        <v>17.75</v>
      </c>
      <c r="CI10" s="26">
        <v>21.68</v>
      </c>
      <c r="CJ10" s="26">
        <v>1.249198357391113</v>
      </c>
      <c r="CK10" s="26">
        <v>1.3360592778663494</v>
      </c>
      <c r="CL10" s="26">
        <v>-0.18127306273062729</v>
      </c>
      <c r="CM10" s="27">
        <v>23.674061302682002</v>
      </c>
      <c r="CN10" s="27">
        <v>-0.27837903806917774</v>
      </c>
      <c r="CO10" s="27">
        <v>13.172845849802364</v>
      </c>
      <c r="CP10" s="27">
        <v>-0.10311875153058132</v>
      </c>
      <c r="CQ10" s="27">
        <v>93.814615384615436</v>
      </c>
      <c r="CR10" s="27">
        <v>-0.26896460779054171</v>
      </c>
      <c r="CS10" s="27">
        <v>1.0575095785440605</v>
      </c>
      <c r="CT10" s="27">
        <v>1.3546743295019157</v>
      </c>
      <c r="CU10" s="27">
        <v>-0.21936250247475808</v>
      </c>
      <c r="CV10" s="27">
        <v>1.2699233716475098</v>
      </c>
      <c r="CW10" s="27">
        <v>2.1037775160152683</v>
      </c>
      <c r="CX10" s="28">
        <v>0.92</v>
      </c>
      <c r="CY10" s="28">
        <v>1.03</v>
      </c>
      <c r="CZ10" s="29">
        <v>26.404674329999999</v>
      </c>
      <c r="DA10" s="27">
        <v>-0.21369918349816944</v>
      </c>
      <c r="DB10" s="27">
        <v>3.3676575479931978</v>
      </c>
      <c r="DC10" s="27">
        <v>1.4102002336892525</v>
      </c>
      <c r="DD10" s="27">
        <v>2</v>
      </c>
      <c r="DE10" s="28">
        <v>2.65</v>
      </c>
      <c r="DF10" s="28">
        <v>100</v>
      </c>
      <c r="DG10" s="28">
        <v>4.6051701859880918</v>
      </c>
      <c r="DH10" s="28">
        <v>0.96696599999999999</v>
      </c>
      <c r="DI10" s="28">
        <v>0.95314299999999996</v>
      </c>
      <c r="DJ10" s="27">
        <v>1.4</v>
      </c>
      <c r="DK10" s="27">
        <v>2.5</v>
      </c>
      <c r="DL10" s="27">
        <v>2.4833477735949187E-2</v>
      </c>
      <c r="DM10" s="27">
        <v>0.74709999999999999</v>
      </c>
      <c r="DN10" s="28">
        <v>0.71719999999999995</v>
      </c>
      <c r="DO10" s="28">
        <v>4.8538011695906276E-2</v>
      </c>
      <c r="DP10" s="28">
        <v>7.0650616222413323E-2</v>
      </c>
      <c r="DQ10" s="27">
        <v>0.14990000000000003</v>
      </c>
      <c r="DR10" s="27">
        <v>3.4239891893164551E-2</v>
      </c>
      <c r="DS10" s="27">
        <v>2.4180879115385762E-2</v>
      </c>
      <c r="DT10" s="27">
        <v>3.802148779895468E-2</v>
      </c>
      <c r="DU10" s="30">
        <v>9.6228090000000002</v>
      </c>
      <c r="DV10">
        <v>2.7</v>
      </c>
      <c r="DW10">
        <v>2.9</v>
      </c>
      <c r="DX10">
        <v>100</v>
      </c>
      <c r="DY10">
        <v>100</v>
      </c>
      <c r="DZ10">
        <v>0.2</v>
      </c>
      <c r="EA10">
        <v>2</v>
      </c>
      <c r="EB10">
        <v>1.2855829999999999</v>
      </c>
    </row>
    <row r="11" spans="1:132" ht="18">
      <c r="A11" s="14" t="s">
        <v>132</v>
      </c>
      <c r="B11" s="14">
        <v>10</v>
      </c>
      <c r="C11" s="14" t="s">
        <v>133</v>
      </c>
      <c r="D11" s="14" t="s">
        <v>134</v>
      </c>
      <c r="E11" s="14" t="s">
        <v>135</v>
      </c>
      <c r="F11" s="15">
        <v>10106</v>
      </c>
      <c r="G11" s="15">
        <v>4.0045792939022116</v>
      </c>
      <c r="H11" s="15">
        <v>5940.5</v>
      </c>
      <c r="I11" s="15">
        <v>0</v>
      </c>
      <c r="J11" s="16">
        <v>3781.3824</v>
      </c>
      <c r="K11" s="16">
        <v>1</v>
      </c>
      <c r="L11" s="17">
        <v>0.11852510465393785</v>
      </c>
      <c r="M11" s="18">
        <v>25</v>
      </c>
      <c r="N11" s="18">
        <v>25</v>
      </c>
      <c r="O11" s="18">
        <v>0.87448559670781889</v>
      </c>
      <c r="P11" s="18">
        <v>2</v>
      </c>
      <c r="Q11" s="18">
        <f t="shared" si="2"/>
        <v>2.5</v>
      </c>
      <c r="R11" s="18">
        <v>25</v>
      </c>
      <c r="S11" s="18">
        <v>6</v>
      </c>
      <c r="T11" s="19">
        <v>22103</v>
      </c>
      <c r="U11" s="19">
        <v>4.3444512236861383</v>
      </c>
      <c r="V11" s="20"/>
      <c r="W11" s="20"/>
      <c r="X11" s="20"/>
      <c r="Y11" s="20">
        <v>0.9250241011</v>
      </c>
      <c r="Z11" s="20">
        <f t="shared" si="3"/>
        <v>-3.3846951760015634E-2</v>
      </c>
      <c r="AA11" s="20">
        <v>0.86417206840000005</v>
      </c>
      <c r="AB11" s="20">
        <v>2933</v>
      </c>
      <c r="AC11" s="20"/>
      <c r="AD11" s="21">
        <v>32732</v>
      </c>
      <c r="AE11" s="21">
        <f t="shared" si="0"/>
        <v>0.38388716856646488</v>
      </c>
      <c r="AF11" s="21">
        <f t="shared" si="1"/>
        <v>4.5149725425040597</v>
      </c>
      <c r="AG11" s="22">
        <v>1.5565655936741175E-3</v>
      </c>
      <c r="AH11" s="22">
        <v>175</v>
      </c>
      <c r="AI11" s="22">
        <v>2.026645684</v>
      </c>
      <c r="AL11" s="24">
        <v>0.74642037000000006</v>
      </c>
      <c r="AM11" s="22">
        <f>51739+19644</f>
        <v>71383</v>
      </c>
      <c r="AN11" s="22">
        <f t="shared" si="4"/>
        <v>0.83719350341500554</v>
      </c>
      <c r="AO11" s="23">
        <v>0.20383628258813993</v>
      </c>
      <c r="AP11" s="23">
        <v>2.2544279230127057E-2</v>
      </c>
      <c r="AQ11" s="23">
        <v>0.35303635490617696</v>
      </c>
      <c r="AR11" s="23">
        <v>85264.636799999993</v>
      </c>
      <c r="AS11" s="23">
        <v>4.9307689464426865</v>
      </c>
      <c r="AT11" s="23">
        <v>4.9370721213136157</v>
      </c>
      <c r="AU11" s="22">
        <v>1.468</v>
      </c>
      <c r="AV11" s="22">
        <v>0.77367013760000003</v>
      </c>
      <c r="AW11" s="22">
        <v>75.983000000000004</v>
      </c>
      <c r="AX11" s="22">
        <v>68.176000000000002</v>
      </c>
      <c r="AY11" s="22">
        <v>2</v>
      </c>
      <c r="AZ11" s="24">
        <v>29612</v>
      </c>
      <c r="BA11" s="24">
        <f t="shared" si="5"/>
        <v>4.471467740710164</v>
      </c>
      <c r="BB11" s="24">
        <v>12615</v>
      </c>
      <c r="BC11" s="24">
        <f t="shared" si="6"/>
        <v>4.1008872548535935</v>
      </c>
      <c r="BD11" s="24">
        <v>16997</v>
      </c>
      <c r="BE11" s="23">
        <v>6036</v>
      </c>
      <c r="BF11" s="23">
        <f t="shared" si="8"/>
        <v>838.23500000000172</v>
      </c>
      <c r="BG11" s="23">
        <v>0.38455292198929708</v>
      </c>
      <c r="BH11" s="23">
        <v>7.0791364703262305E-2</v>
      </c>
      <c r="BI11" s="23">
        <v>5.0392690851672015E-2</v>
      </c>
      <c r="BJ11" s="23">
        <v>2.5612052783444018E-2</v>
      </c>
      <c r="BK11" s="23">
        <v>0.4047942966894269</v>
      </c>
      <c r="BL11" s="23">
        <v>4359.53</v>
      </c>
      <c r="BM11" s="22">
        <v>12486</v>
      </c>
      <c r="BN11" s="22">
        <f t="shared" si="9"/>
        <v>1290.5</v>
      </c>
      <c r="BO11" s="22">
        <v>4.0964233305952709</v>
      </c>
      <c r="BP11" s="22">
        <v>0.42165338376333916</v>
      </c>
      <c r="BQ11" s="22">
        <v>3.0486585552924411E-2</v>
      </c>
      <c r="BR11" s="22">
        <v>8.7141303570367756E-4</v>
      </c>
      <c r="BS11" s="22">
        <v>-2731</v>
      </c>
      <c r="BT11" s="22">
        <v>3.4363217001397333</v>
      </c>
      <c r="BU11" s="22">
        <v>3.2029691352652316E-2</v>
      </c>
      <c r="BV11" s="23">
        <v>11727</v>
      </c>
      <c r="BW11" s="22">
        <v>29006.4408</v>
      </c>
      <c r="BX11" s="22">
        <v>47.3</v>
      </c>
      <c r="BY11" s="22">
        <v>1.6748611407378116</v>
      </c>
      <c r="BZ11" s="25">
        <v>0.10514018691588786</v>
      </c>
      <c r="CA11" s="23">
        <v>9.4541820773390697E-2</v>
      </c>
      <c r="CB11" s="23">
        <v>9.4541820773390697</v>
      </c>
      <c r="CC11" s="23">
        <v>0.97562396209024826</v>
      </c>
      <c r="CD11" s="23">
        <v>5.2225758931015019E-2</v>
      </c>
      <c r="CE11" s="23">
        <v>0.12394112423341876</v>
      </c>
      <c r="CF11" s="23">
        <v>1.398818316100443</v>
      </c>
      <c r="CG11" s="23">
        <f t="shared" si="7"/>
        <v>0.33562782027380317</v>
      </c>
      <c r="CH11" s="26">
        <v>23.4</v>
      </c>
      <c r="CI11" s="26">
        <v>17.75</v>
      </c>
      <c r="CJ11" s="26">
        <v>1.3692158574101427</v>
      </c>
      <c r="CK11" s="26">
        <v>1.249198357391113</v>
      </c>
      <c r="CL11" s="26">
        <v>0.31830985915492949</v>
      </c>
      <c r="CM11" s="27">
        <v>25.275999999999993</v>
      </c>
      <c r="CN11" s="27">
        <v>6.7666408261623831E-2</v>
      </c>
      <c r="CO11" s="27">
        <v>14.393934426229498</v>
      </c>
      <c r="CP11" s="27">
        <v>9.2697401180433139E-2</v>
      </c>
      <c r="CQ11" s="27">
        <v>94.493822393822356</v>
      </c>
      <c r="CR11" s="27">
        <v>7.2398848134946573E-3</v>
      </c>
      <c r="CS11" s="27">
        <v>1.0720384615384604</v>
      </c>
      <c r="CT11" s="27">
        <v>1.0575095785440605</v>
      </c>
      <c r="CU11" s="27">
        <v>1.37387720065881E-2</v>
      </c>
      <c r="CV11" s="27">
        <v>1.268846153846154</v>
      </c>
      <c r="CW11" s="27">
        <v>2.1034089675745258</v>
      </c>
      <c r="CX11" s="28">
        <v>0.92</v>
      </c>
      <c r="CY11" s="28">
        <v>0.92</v>
      </c>
      <c r="CZ11" s="29">
        <v>29.99596154</v>
      </c>
      <c r="DA11" s="27">
        <v>0.13600952487112158</v>
      </c>
      <c r="DB11" s="27">
        <v>1.9709466682529033</v>
      </c>
      <c r="DC11" s="27">
        <v>3.3676575479931978</v>
      </c>
      <c r="DD11" s="27">
        <v>2</v>
      </c>
      <c r="DE11" s="28">
        <v>2.84</v>
      </c>
      <c r="DF11" s="28">
        <v>102.219914</v>
      </c>
      <c r="DG11" s="28">
        <v>4.6271265120171421</v>
      </c>
      <c r="DH11" s="28">
        <v>0.981734</v>
      </c>
      <c r="DI11" s="28">
        <v>0.95835199999999998</v>
      </c>
      <c r="DJ11" s="27">
        <v>2</v>
      </c>
      <c r="DK11" s="27">
        <v>2.7</v>
      </c>
      <c r="DL11" s="27">
        <v>1.6688062333233E-2</v>
      </c>
      <c r="DM11" s="27">
        <v>0.77139999999999997</v>
      </c>
      <c r="DN11" s="28">
        <v>0.69699999999999995</v>
      </c>
      <c r="DO11" s="28">
        <v>-2.8165086447295033E-2</v>
      </c>
      <c r="DP11" s="28">
        <v>3.2525766296345855E-2</v>
      </c>
      <c r="DQ11" s="27">
        <v>0.10270000000000001</v>
      </c>
      <c r="DR11" s="27">
        <v>2.4180879115385762E-2</v>
      </c>
      <c r="DS11" s="27">
        <v>2.0079372103467861E-2</v>
      </c>
      <c r="DT11" s="27">
        <v>3.4239891893164551E-2</v>
      </c>
      <c r="DU11" s="30">
        <v>8.9420310000000001</v>
      </c>
      <c r="DV11">
        <v>2.2000000000000002</v>
      </c>
      <c r="DW11">
        <v>2.4</v>
      </c>
      <c r="DX11">
        <v>102.1</v>
      </c>
      <c r="DY11">
        <v>102.1</v>
      </c>
      <c r="DZ11">
        <v>0.9</v>
      </c>
      <c r="EA11">
        <v>0.7</v>
      </c>
      <c r="EB11">
        <v>1.494866</v>
      </c>
    </row>
    <row r="12" spans="1:132" ht="18">
      <c r="A12" s="14" t="s">
        <v>132</v>
      </c>
      <c r="B12" s="14">
        <v>11</v>
      </c>
      <c r="C12" s="14" t="s">
        <v>133</v>
      </c>
      <c r="D12" s="14" t="s">
        <v>134</v>
      </c>
      <c r="E12" s="14" t="s">
        <v>135</v>
      </c>
      <c r="F12" s="15">
        <v>10061</v>
      </c>
      <c r="G12" s="15">
        <v>4.0026411490000395</v>
      </c>
      <c r="H12" s="15">
        <v>4330</v>
      </c>
      <c r="I12" s="15">
        <v>0</v>
      </c>
      <c r="J12" s="16">
        <v>3944.71</v>
      </c>
      <c r="K12" s="16">
        <v>1</v>
      </c>
      <c r="L12" s="17">
        <v>0.10753547492282023</v>
      </c>
      <c r="M12" s="18">
        <v>25</v>
      </c>
      <c r="N12" s="18">
        <v>25</v>
      </c>
      <c r="O12" s="18">
        <v>0.87448559670781889</v>
      </c>
      <c r="P12" s="18">
        <v>2</v>
      </c>
      <c r="Q12" s="18">
        <f t="shared" si="2"/>
        <v>2.5</v>
      </c>
      <c r="R12" s="18">
        <v>25</v>
      </c>
      <c r="S12" s="18">
        <v>6</v>
      </c>
      <c r="T12" s="19">
        <v>25328</v>
      </c>
      <c r="U12" s="19">
        <v>4.403600897518281</v>
      </c>
      <c r="V12" s="20"/>
      <c r="W12" s="20"/>
      <c r="X12" s="20"/>
      <c r="Y12" s="20">
        <v>0.92546538079999996</v>
      </c>
      <c r="Z12" s="20">
        <f t="shared" si="3"/>
        <v>-3.3639822409437699E-2</v>
      </c>
      <c r="AA12" s="20">
        <v>0.86683496370000002</v>
      </c>
      <c r="AB12" s="20">
        <v>2747</v>
      </c>
      <c r="AD12" s="21">
        <v>35199</v>
      </c>
      <c r="AE12" s="21">
        <f t="shared" si="0"/>
        <v>0.37621918117566339</v>
      </c>
      <c r="AF12" s="21">
        <f t="shared" si="1"/>
        <v>4.5465303253914557</v>
      </c>
      <c r="AG12" s="22">
        <v>1.4842482119702173E-3</v>
      </c>
      <c r="AH12" s="22">
        <v>182</v>
      </c>
      <c r="AI12" s="22">
        <v>2.5572164700000002</v>
      </c>
      <c r="AL12" s="24">
        <v>0.83494313499999995</v>
      </c>
      <c r="AM12" s="22">
        <f>56772+20408</f>
        <v>77180</v>
      </c>
      <c r="AN12" s="22">
        <f t="shared" si="4"/>
        <v>0.82492674232613716</v>
      </c>
      <c r="AO12" s="23">
        <v>0.23728366573265205</v>
      </c>
      <c r="AP12" s="23">
        <v>1.6723691572256061E-2</v>
      </c>
      <c r="AQ12" s="23">
        <v>0.22333214944866964</v>
      </c>
      <c r="AR12" s="23">
        <v>93559.823000000004</v>
      </c>
      <c r="AS12" s="23">
        <v>4.9710893915232202</v>
      </c>
      <c r="AT12" s="23">
        <v>4.9307689464426865</v>
      </c>
      <c r="AU12" s="22">
        <v>1.4810000000000001</v>
      </c>
      <c r="AV12" s="22">
        <v>0.81532172719999996</v>
      </c>
      <c r="AW12" s="22">
        <v>105.209</v>
      </c>
      <c r="AX12" s="22">
        <v>75.983000000000004</v>
      </c>
      <c r="AY12" s="22">
        <v>3</v>
      </c>
      <c r="AZ12" s="24">
        <v>30335</v>
      </c>
      <c r="BA12" s="24">
        <f t="shared" si="5"/>
        <v>4.4819439992800669</v>
      </c>
      <c r="BB12" s="24">
        <v>12549</v>
      </c>
      <c r="BC12" s="24">
        <f t="shared" si="6"/>
        <v>4.0986091193002929</v>
      </c>
      <c r="BD12" s="24">
        <v>17786</v>
      </c>
      <c r="BE12" s="23">
        <v>7198</v>
      </c>
      <c r="BF12" s="23">
        <f t="shared" si="8"/>
        <v>581</v>
      </c>
      <c r="BG12" s="23">
        <v>0.19251159708416168</v>
      </c>
      <c r="BH12" s="23">
        <v>7.6934732978278506E-2</v>
      </c>
      <c r="BI12" s="23">
        <v>7.0791364703262305E-2</v>
      </c>
      <c r="BJ12" s="23">
        <v>2.5612052783444018E-2</v>
      </c>
      <c r="BK12" s="23">
        <v>8.6781322845907699E-2</v>
      </c>
      <c r="BL12" s="23">
        <v>6036</v>
      </c>
      <c r="BM12" s="22">
        <v>13268</v>
      </c>
      <c r="BN12" s="22">
        <f t="shared" si="9"/>
        <v>391</v>
      </c>
      <c r="BO12" s="22">
        <v>4.1228054628474444</v>
      </c>
      <c r="BP12" s="22">
        <v>0.43738256139772541</v>
      </c>
      <c r="BQ12" s="22">
        <v>7.8645888171931244E-3</v>
      </c>
      <c r="BR12" s="22">
        <v>3.0486585552924411E-2</v>
      </c>
      <c r="BS12" s="22">
        <v>-11341</v>
      </c>
      <c r="BT12" s="22">
        <v>4.0546513504417412</v>
      </c>
      <c r="BU12" s="22">
        <v>0.12121656108733767</v>
      </c>
      <c r="BV12" s="23">
        <v>11179</v>
      </c>
      <c r="BW12" s="22">
        <v>33543.966500000002</v>
      </c>
      <c r="BX12" s="22">
        <v>65.7</v>
      </c>
      <c r="BY12" s="22">
        <v>1.8175653695597809</v>
      </c>
      <c r="BZ12" s="25">
        <v>0.38900634249471472</v>
      </c>
      <c r="CA12" s="23">
        <v>0.12394112423341876</v>
      </c>
      <c r="CB12" s="23">
        <v>12.394112423341875</v>
      </c>
      <c r="CC12" s="23">
        <v>1.0932154311888072</v>
      </c>
      <c r="CD12" s="23">
        <v>9.4541820773390697E-2</v>
      </c>
      <c r="CE12" s="23">
        <v>0.14208317737671516</v>
      </c>
      <c r="CF12" s="23">
        <v>1.5412147505422993</v>
      </c>
      <c r="CG12" s="23">
        <f t="shared" si="7"/>
        <v>0.43257090454050678</v>
      </c>
      <c r="CH12" s="26">
        <v>18.02</v>
      </c>
      <c r="CI12" s="26">
        <v>23.4</v>
      </c>
      <c r="CJ12" s="26">
        <v>1.2557547866430441</v>
      </c>
      <c r="CK12" s="26">
        <v>1.3692158574101427</v>
      </c>
      <c r="CL12" s="26">
        <v>-0.22991452991452987</v>
      </c>
      <c r="CM12" s="27">
        <v>18.608429118773955</v>
      </c>
      <c r="CN12" s="27">
        <v>-0.26379058716672099</v>
      </c>
      <c r="CO12" s="27">
        <v>10.244782608695646</v>
      </c>
      <c r="CP12" s="27">
        <v>-0.28825696259759365</v>
      </c>
      <c r="CQ12" s="27">
        <v>71.254230769230816</v>
      </c>
      <c r="CR12" s="27">
        <v>-0.24593768180670883</v>
      </c>
      <c r="CS12" s="27">
        <v>0.83494252873563157</v>
      </c>
      <c r="CT12" s="27">
        <v>1.0720384615384604</v>
      </c>
      <c r="CU12" s="27">
        <v>-0.22116364413136569</v>
      </c>
      <c r="CV12" s="27">
        <v>0.95088122605364045</v>
      </c>
      <c r="CW12" s="27">
        <v>1.9781262728880398</v>
      </c>
      <c r="CX12" s="28">
        <v>0.54</v>
      </c>
      <c r="CY12" s="28">
        <v>0.92</v>
      </c>
      <c r="CZ12" s="29">
        <v>24.56237548</v>
      </c>
      <c r="DA12" s="27">
        <v>-0.18114392008251654</v>
      </c>
      <c r="DB12" s="27">
        <v>1.7682050254071211</v>
      </c>
      <c r="DC12" s="27">
        <v>1.9709466682529033</v>
      </c>
      <c r="DD12" s="27">
        <v>2</v>
      </c>
      <c r="DE12" s="28">
        <v>2.4300000000000002</v>
      </c>
      <c r="DF12" s="28">
        <v>104.343987</v>
      </c>
      <c r="DG12" s="28">
        <v>4.6476930084800729</v>
      </c>
      <c r="DH12" s="28">
        <v>1</v>
      </c>
      <c r="DI12" s="28">
        <v>0.93972999999999995</v>
      </c>
      <c r="DJ12" s="27">
        <v>0.9</v>
      </c>
      <c r="DK12" s="27">
        <v>1.9</v>
      </c>
      <c r="DL12" s="27">
        <v>1.6829215601661535E-2</v>
      </c>
      <c r="DM12" s="27">
        <v>0.75800000000000001</v>
      </c>
      <c r="DN12" s="28">
        <v>0.74839999999999995</v>
      </c>
      <c r="DO12" s="28">
        <v>7.3744619799139169E-2</v>
      </c>
      <c r="DP12" s="28">
        <v>-1.7371013741249636E-2</v>
      </c>
      <c r="DQ12" s="27">
        <v>8.4699999999999998E-2</v>
      </c>
      <c r="DR12" s="27">
        <v>2.0079372103467861E-2</v>
      </c>
      <c r="DS12" s="27">
        <v>1.50675227484701E-2</v>
      </c>
      <c r="DT12" s="27">
        <v>2.4180879115385762E-2</v>
      </c>
      <c r="DU12" s="30">
        <v>8.0652849999999994</v>
      </c>
      <c r="DV12">
        <v>0.9</v>
      </c>
      <c r="DW12">
        <v>1.4</v>
      </c>
      <c r="DX12">
        <v>103.9</v>
      </c>
      <c r="DY12">
        <v>103.8</v>
      </c>
      <c r="DZ12">
        <v>0.1</v>
      </c>
      <c r="EA12">
        <v>0</v>
      </c>
      <c r="EB12">
        <v>1.826854</v>
      </c>
    </row>
    <row r="13" spans="1:132" ht="18">
      <c r="A13" s="14" t="s">
        <v>132</v>
      </c>
      <c r="B13" s="14">
        <v>12</v>
      </c>
      <c r="C13" s="14" t="s">
        <v>133</v>
      </c>
      <c r="D13" s="14" t="s">
        <v>134</v>
      </c>
      <c r="E13" s="14" t="s">
        <v>135</v>
      </c>
      <c r="F13" s="15">
        <v>10457</v>
      </c>
      <c r="G13" s="15">
        <v>4.0194071080188838</v>
      </c>
      <c r="H13" s="15">
        <v>6000</v>
      </c>
      <c r="I13" s="15">
        <v>415</v>
      </c>
      <c r="J13" s="16">
        <v>3976.8546999999999</v>
      </c>
      <c r="K13" s="16">
        <v>1</v>
      </c>
      <c r="L13" s="17">
        <v>0.10110185592281483</v>
      </c>
      <c r="M13" s="18">
        <v>25</v>
      </c>
      <c r="N13" s="18">
        <v>25</v>
      </c>
      <c r="O13" s="18">
        <v>0.87448559670781889</v>
      </c>
      <c r="P13" s="18">
        <v>2</v>
      </c>
      <c r="Q13" s="18">
        <f t="shared" si="2"/>
        <v>2.5</v>
      </c>
      <c r="R13" s="18">
        <v>25</v>
      </c>
      <c r="S13" s="18">
        <v>6</v>
      </c>
      <c r="T13" s="19">
        <v>27981</v>
      </c>
      <c r="U13" s="19">
        <v>4.4468632314825163</v>
      </c>
      <c r="V13" s="20">
        <f>MIN(V15:V248)</f>
        <v>324</v>
      </c>
      <c r="W13" s="20"/>
      <c r="X13" s="20"/>
      <c r="Y13" s="20">
        <v>0.93595960990000004</v>
      </c>
      <c r="Z13" s="20">
        <f t="shared" si="3"/>
        <v>-2.8742892261928592E-2</v>
      </c>
      <c r="AA13" s="20">
        <v>0.88442077230000005</v>
      </c>
      <c r="AB13" s="20">
        <v>3321</v>
      </c>
      <c r="AD13" s="21">
        <v>35456</v>
      </c>
      <c r="AE13" s="21">
        <f t="shared" si="0"/>
        <v>0.34280074625603163</v>
      </c>
      <c r="AF13" s="21">
        <f t="shared" si="1"/>
        <v>4.549689738712317</v>
      </c>
      <c r="AG13" s="22">
        <v>1.3058884982988155E-3</v>
      </c>
      <c r="AH13" s="22">
        <v>185</v>
      </c>
      <c r="AI13" s="22">
        <v>2.4639531419999998</v>
      </c>
      <c r="AL13" s="24">
        <v>0.88724355499999996</v>
      </c>
      <c r="AM13" s="22">
        <f>60731+25627</f>
        <v>86358</v>
      </c>
      <c r="AN13" s="22">
        <f t="shared" si="4"/>
        <v>0.83493870840417361</v>
      </c>
      <c r="AO13" s="23">
        <v>0.382401623489869</v>
      </c>
      <c r="AP13" s="23">
        <v>7.255897887860846E-2</v>
      </c>
      <c r="AQ13" s="23">
        <v>0.86069116227549336</v>
      </c>
      <c r="AR13" s="23">
        <v>103430.34659999999</v>
      </c>
      <c r="AS13" s="23">
        <v>5.0146479800278891</v>
      </c>
      <c r="AT13" s="23">
        <v>4.9710893915232202</v>
      </c>
      <c r="AU13" s="22">
        <v>1.3660000000000001</v>
      </c>
      <c r="AV13" s="22">
        <v>0.71028576389999998</v>
      </c>
      <c r="AW13" s="22">
        <v>124.09699999999999</v>
      </c>
      <c r="AX13" s="22">
        <v>105.209</v>
      </c>
      <c r="AY13" s="22">
        <v>3</v>
      </c>
      <c r="AZ13" s="24">
        <v>31537</v>
      </c>
      <c r="BA13" s="24">
        <f t="shared" si="5"/>
        <v>4.4988203781047096</v>
      </c>
      <c r="BB13" s="24">
        <v>12845</v>
      </c>
      <c r="BC13" s="24">
        <f t="shared" si="6"/>
        <v>4.1087341086023645</v>
      </c>
      <c r="BD13" s="24">
        <v>18692</v>
      </c>
      <c r="BE13" s="23">
        <v>12059.8</v>
      </c>
      <c r="BF13" s="23">
        <f t="shared" si="8"/>
        <v>2430.9000000000005</v>
      </c>
      <c r="BG13" s="23">
        <v>0.67543762156154474</v>
      </c>
      <c r="BH13" s="23">
        <v>0.11659827503662257</v>
      </c>
      <c r="BI13" s="23">
        <v>7.6934732978278506E-2</v>
      </c>
      <c r="BJ13" s="23">
        <v>2.5612052783444018E-2</v>
      </c>
      <c r="BK13" s="23">
        <v>0.51554792644230707</v>
      </c>
      <c r="BL13" s="23">
        <v>7198</v>
      </c>
      <c r="BM13" s="22">
        <v>13864</v>
      </c>
      <c r="BN13" s="22">
        <f t="shared" si="9"/>
        <v>298</v>
      </c>
      <c r="BO13" s="22">
        <v>4.1418885497058602</v>
      </c>
      <c r="BP13" s="22">
        <v>0.43961061610172181</v>
      </c>
      <c r="BQ13" s="22">
        <v>1.114027351998198E-3</v>
      </c>
      <c r="BR13" s="22">
        <v>7.8645888171931244E-3</v>
      </c>
      <c r="BS13" s="22">
        <v>-10281</v>
      </c>
      <c r="BT13" s="22">
        <v>4.0120353591495297</v>
      </c>
      <c r="BU13" s="22">
        <v>9.9400227669738869E-2</v>
      </c>
      <c r="BV13" s="23">
        <v>9940</v>
      </c>
      <c r="BW13" s="22">
        <v>35773.542500000003</v>
      </c>
      <c r="BX13" s="22">
        <v>77.260000000000005</v>
      </c>
      <c r="BY13" s="22">
        <v>1.8879547038088016</v>
      </c>
      <c r="BZ13" s="25">
        <v>0.17595129375951296</v>
      </c>
      <c r="CA13" s="23">
        <v>0.14208317737671516</v>
      </c>
      <c r="CB13" s="23">
        <v>14.208317737671516</v>
      </c>
      <c r="CC13" s="23">
        <v>1.1525426605808153</v>
      </c>
      <c r="CD13" s="23">
        <v>0.12394112423341876</v>
      </c>
      <c r="CE13" s="23">
        <v>0.13685464176777343</v>
      </c>
      <c r="CF13" s="23">
        <v>1.2547288776796972</v>
      </c>
      <c r="CG13" s="23">
        <f t="shared" si="7"/>
        <v>0.22691951552374467</v>
      </c>
      <c r="CH13" s="26">
        <v>13.72</v>
      </c>
      <c r="CI13" s="26">
        <v>18.02</v>
      </c>
      <c r="CJ13" s="26">
        <v>1.1373541113707328</v>
      </c>
      <c r="CK13" s="26">
        <v>1.2557547866430441</v>
      </c>
      <c r="CL13" s="26">
        <v>-0.23862375138734734</v>
      </c>
      <c r="CM13" s="27">
        <v>14.834099616858232</v>
      </c>
      <c r="CN13" s="27">
        <v>-0.20282902322516949</v>
      </c>
      <c r="CO13" s="27">
        <v>8.3248809523809495</v>
      </c>
      <c r="CP13" s="27">
        <v>-0.18740286930882333</v>
      </c>
      <c r="CQ13" s="27">
        <v>73.031538461538446</v>
      </c>
      <c r="CR13" s="27">
        <v>2.494318825872599E-2</v>
      </c>
      <c r="CS13" s="27">
        <v>0.8023754789272034</v>
      </c>
      <c r="CT13" s="27">
        <v>0.83494252873563157</v>
      </c>
      <c r="CU13" s="27">
        <v>-3.9005139500733109E-2</v>
      </c>
      <c r="CV13" s="27">
        <v>0.96896551724137914</v>
      </c>
      <c r="CW13" s="27">
        <v>1.9863083220061237</v>
      </c>
      <c r="CX13" s="28">
        <v>0.62</v>
      </c>
      <c r="CY13" s="28">
        <v>0.54</v>
      </c>
      <c r="CZ13" s="29">
        <v>18.565019159999999</v>
      </c>
      <c r="DA13" s="27">
        <v>-0.24416841623821645</v>
      </c>
      <c r="DB13" s="27">
        <v>1.1698744465812936</v>
      </c>
      <c r="DC13" s="27">
        <v>1.7682050254071211</v>
      </c>
      <c r="DD13" s="27">
        <v>2</v>
      </c>
      <c r="DE13" s="28">
        <v>2.19</v>
      </c>
      <c r="DF13" s="28">
        <v>105.936266</v>
      </c>
      <c r="DG13" s="28">
        <v>4.6628376491293455</v>
      </c>
      <c r="DH13" s="28">
        <v>1.0143740000000001</v>
      </c>
      <c r="DI13" s="28">
        <v>0.96529500000000001</v>
      </c>
      <c r="DJ13" s="27">
        <v>0.9</v>
      </c>
      <c r="DK13" s="27">
        <v>1.3</v>
      </c>
      <c r="DL13" s="27">
        <v>1.2152522197973097E-2</v>
      </c>
      <c r="DM13" s="27">
        <v>0.72770000000000001</v>
      </c>
      <c r="DN13" s="28">
        <v>0.77380000000000004</v>
      </c>
      <c r="DO13" s="28">
        <v>3.3939070016034328E-2</v>
      </c>
      <c r="DP13" s="28">
        <v>-3.9973614775725586E-2</v>
      </c>
      <c r="DQ13" s="27">
        <v>5.8499999999999996E-2</v>
      </c>
      <c r="DR13" s="27">
        <v>1.50675227484701E-2</v>
      </c>
      <c r="DS13" s="27">
        <v>3.1335239457349999E-2</v>
      </c>
      <c r="DT13" s="27">
        <v>2.0079372103467861E-2</v>
      </c>
      <c r="DU13" s="30">
        <v>7.3719619999999999</v>
      </c>
      <c r="DV13">
        <v>1.5</v>
      </c>
      <c r="DW13">
        <v>2.1</v>
      </c>
      <c r="DX13">
        <v>105.4</v>
      </c>
      <c r="DY13">
        <v>105.7</v>
      </c>
      <c r="DZ13">
        <v>0.2</v>
      </c>
      <c r="EA13">
        <v>0.8</v>
      </c>
      <c r="EB13">
        <v>1.343728</v>
      </c>
    </row>
    <row r="14" spans="1:132" ht="18">
      <c r="A14" s="14" t="s">
        <v>132</v>
      </c>
      <c r="B14" s="14">
        <v>13</v>
      </c>
      <c r="C14" s="14" t="s">
        <v>133</v>
      </c>
      <c r="D14" s="14" t="s">
        <v>134</v>
      </c>
      <c r="E14" s="14" t="s">
        <v>135</v>
      </c>
      <c r="F14" s="15">
        <v>12827</v>
      </c>
      <c r="G14" s="15">
        <v>4.1081250947385994</v>
      </c>
      <c r="H14" s="15">
        <v>7250.5</v>
      </c>
      <c r="I14" s="15">
        <v>0</v>
      </c>
      <c r="J14" s="16">
        <v>5179.6311999999998</v>
      </c>
      <c r="K14" s="16">
        <v>1</v>
      </c>
      <c r="L14" s="17">
        <v>0.11087045625176435</v>
      </c>
      <c r="M14" s="18">
        <v>25</v>
      </c>
      <c r="N14" s="18">
        <v>25</v>
      </c>
      <c r="O14" s="18">
        <v>0.87448559670781889</v>
      </c>
      <c r="P14" s="18">
        <v>2</v>
      </c>
      <c r="Q14" s="18">
        <f t="shared" si="2"/>
        <v>2.5</v>
      </c>
      <c r="R14" s="18">
        <v>25</v>
      </c>
      <c r="S14" s="18">
        <v>6</v>
      </c>
      <c r="T14" s="19">
        <v>32449</v>
      </c>
      <c r="U14" s="19">
        <v>4.5112013174330352</v>
      </c>
      <c r="V14" s="20"/>
      <c r="W14" s="20"/>
      <c r="X14" s="20"/>
      <c r="Y14" s="20">
        <v>0.94620045370000005</v>
      </c>
      <c r="Z14" s="20">
        <f t="shared" si="3"/>
        <v>-2.4016848044630397E-2</v>
      </c>
      <c r="AA14" s="20">
        <v>0.89558892540000001</v>
      </c>
      <c r="AB14" s="20">
        <v>3817</v>
      </c>
      <c r="AD14" s="21">
        <v>39548</v>
      </c>
      <c r="AE14" s="21">
        <f t="shared" si="0"/>
        <v>0.34183400669250619</v>
      </c>
      <c r="AF14" s="21">
        <f t="shared" si="1"/>
        <v>4.5971245254841042</v>
      </c>
      <c r="AG14" s="22">
        <v>1.5222728867064189E-3</v>
      </c>
      <c r="AH14" s="22">
        <v>217</v>
      </c>
      <c r="AI14" s="22">
        <v>3.0190306570000001</v>
      </c>
      <c r="AL14" s="24">
        <v>0.84953921899999996</v>
      </c>
      <c r="AM14" s="22">
        <f>61085+27208</f>
        <v>88293</v>
      </c>
      <c r="AN14" s="22">
        <f t="shared" si="4"/>
        <v>0.76316248490192795</v>
      </c>
      <c r="AO14" s="23">
        <v>0.24014818305581739</v>
      </c>
      <c r="AP14" s="23">
        <v>7.112672021702586E-2</v>
      </c>
      <c r="AQ14" s="23">
        <v>0.85203278304780627</v>
      </c>
      <c r="AR14" s="23">
        <v>115693.58</v>
      </c>
      <c r="AS14" s="23">
        <v>5.063309260006787</v>
      </c>
      <c r="AT14" s="23">
        <v>5.0146479800278891</v>
      </c>
      <c r="AU14" s="22">
        <v>1.4239999999999999</v>
      </c>
      <c r="AV14" s="22">
        <v>0.83794985590000004</v>
      </c>
      <c r="AW14" s="22">
        <v>150.86699999999999</v>
      </c>
      <c r="AX14" s="22">
        <v>124.09699999999999</v>
      </c>
      <c r="AY14" s="22">
        <v>3</v>
      </c>
      <c r="AZ14" s="24">
        <v>38196</v>
      </c>
      <c r="BA14" s="24">
        <f t="shared" si="5"/>
        <v>4.5820178846686277</v>
      </c>
      <c r="BB14" s="24">
        <v>15222</v>
      </c>
      <c r="BC14" s="24">
        <f t="shared" si="6"/>
        <v>4.1824717176053747</v>
      </c>
      <c r="BD14" s="24">
        <v>22974</v>
      </c>
      <c r="BE14" s="23">
        <v>9172.7000000000007</v>
      </c>
      <c r="BF14" s="23">
        <f t="shared" si="8"/>
        <v>1443.549999999997</v>
      </c>
      <c r="BG14" s="23">
        <v>-0.23939866332774995</v>
      </c>
      <c r="BH14" s="23">
        <v>7.9284433933153431E-2</v>
      </c>
      <c r="BI14" s="23">
        <v>0.11659827503662257</v>
      </c>
      <c r="BJ14" s="23">
        <v>2.5612052783444018E-2</v>
      </c>
      <c r="BK14" s="23">
        <v>-0.32002052424659938</v>
      </c>
      <c r="BL14" s="23">
        <v>12059.8</v>
      </c>
      <c r="BM14" s="22">
        <v>14144</v>
      </c>
      <c r="BN14" s="22">
        <f>STDEVP(BM13:BM14)</f>
        <v>140</v>
      </c>
      <c r="BO14" s="22">
        <v>4.1505722476689977</v>
      </c>
      <c r="BP14" s="22">
        <v>0.37030055503194054</v>
      </c>
      <c r="BQ14" s="22">
        <v>3.4655030534890635E-2</v>
      </c>
      <c r="BR14" s="22">
        <v>1.114027351998198E-3</v>
      </c>
      <c r="BS14" s="22">
        <v>-11152</v>
      </c>
      <c r="BT14" s="22">
        <v>4.0473527607539346</v>
      </c>
      <c r="BU14" s="22">
        <v>9.6392556959513223E-2</v>
      </c>
      <c r="BV14" s="23">
        <v>15007</v>
      </c>
      <c r="BW14" s="22">
        <v>41874.030200000001</v>
      </c>
      <c r="BX14" s="22">
        <v>93.86</v>
      </c>
      <c r="BY14" s="22">
        <v>1.9724805498764759</v>
      </c>
      <c r="BZ14" s="25">
        <v>0.21485891793942524</v>
      </c>
      <c r="CA14" s="23">
        <v>0.13685464176777343</v>
      </c>
      <c r="CB14" s="23">
        <v>13.685464176777343</v>
      </c>
      <c r="CC14" s="23">
        <v>1.1362595321805073</v>
      </c>
      <c r="CD14" s="23">
        <v>0.14208317737671516</v>
      </c>
      <c r="CE14" s="23">
        <v>0.19670181</v>
      </c>
      <c r="CF14" s="23">
        <v>1.3724327451547584</v>
      </c>
      <c r="CG14" s="23">
        <f t="shared" si="7"/>
        <v>0.31658489149218866</v>
      </c>
      <c r="CH14" s="26">
        <v>19.2</v>
      </c>
      <c r="CI14" s="26">
        <v>13.72</v>
      </c>
      <c r="CJ14" s="26">
        <v>1.2833012287035497</v>
      </c>
      <c r="CK14" s="26">
        <v>1.1373541113707328</v>
      </c>
      <c r="CL14" s="26">
        <v>0.39941690962099113</v>
      </c>
      <c r="CM14" s="27">
        <v>14.883180076628348</v>
      </c>
      <c r="CN14" s="27">
        <v>3.3086241186042575E-3</v>
      </c>
      <c r="CO14" s="27">
        <v>6.9159523809523806</v>
      </c>
      <c r="CP14" s="27">
        <v>-0.16924308941926786</v>
      </c>
      <c r="CQ14" s="27">
        <v>64.583076923076902</v>
      </c>
      <c r="CR14" s="27">
        <v>-0.11568237115682381</v>
      </c>
      <c r="CS14" s="27">
        <v>0.66574712643678124</v>
      </c>
      <c r="CT14" s="27">
        <v>0.8023754789272034</v>
      </c>
      <c r="CU14" s="27">
        <v>-0.1702798204564997</v>
      </c>
      <c r="CV14" s="27">
        <v>0.67685823754789287</v>
      </c>
      <c r="CW14" s="27">
        <v>1.8304977187626064</v>
      </c>
      <c r="CX14" s="28">
        <v>1.33</v>
      </c>
      <c r="CY14" s="28">
        <v>0.62</v>
      </c>
      <c r="CZ14" s="29">
        <v>18.278045980000002</v>
      </c>
      <c r="DA14" s="27">
        <v>-1.5457736807420394E-2</v>
      </c>
      <c r="DC14" s="27">
        <v>1.1698744465812936</v>
      </c>
      <c r="DD14" s="27">
        <v>2</v>
      </c>
      <c r="DE14" s="28">
        <v>1.5</v>
      </c>
      <c r="DF14" s="28">
        <v>106.702057</v>
      </c>
      <c r="DG14" s="28">
        <v>4.670040436472398</v>
      </c>
      <c r="DH14" s="28">
        <v>1.029887</v>
      </c>
      <c r="DI14" s="28">
        <v>0.93938500000000003</v>
      </c>
      <c r="DJ14" s="27">
        <v>1</v>
      </c>
      <c r="DK14" s="27">
        <v>1</v>
      </c>
      <c r="DL14" s="27">
        <v>1.7108786898118553E-2</v>
      </c>
      <c r="DM14" s="27">
        <v>0.8266</v>
      </c>
      <c r="DN14" s="28">
        <v>0.75860000000000005</v>
      </c>
      <c r="DO14" s="28">
        <v>-1.9643318686999211E-2</v>
      </c>
      <c r="DP14" s="28">
        <v>0.13590765425312626</v>
      </c>
      <c r="DQ14" s="27">
        <v>0.10860000000000003</v>
      </c>
      <c r="DR14" s="27">
        <v>3.1335239457349999E-2</v>
      </c>
      <c r="DS14" s="27">
        <v>2.7611694356583942E-2</v>
      </c>
      <c r="DT14" s="27">
        <v>1.50675227484701E-2</v>
      </c>
      <c r="DU14" s="30">
        <v>6.1553740000000001</v>
      </c>
      <c r="DV14">
        <v>1.6</v>
      </c>
      <c r="DW14">
        <v>2.2999999999999998</v>
      </c>
      <c r="DX14">
        <v>107</v>
      </c>
      <c r="DY14">
        <v>107.5</v>
      </c>
      <c r="DZ14">
        <v>0.4</v>
      </c>
      <c r="EA14">
        <v>1.1000000000000001</v>
      </c>
      <c r="EB14">
        <v>1.4054869999999999</v>
      </c>
    </row>
    <row r="15" spans="1:132" ht="18">
      <c r="A15" s="14" t="s">
        <v>136</v>
      </c>
      <c r="B15" s="14">
        <v>1</v>
      </c>
      <c r="C15" s="14" t="s">
        <v>137</v>
      </c>
      <c r="D15" s="14" t="s">
        <v>138</v>
      </c>
      <c r="E15" s="14" t="s">
        <v>139</v>
      </c>
      <c r="F15" s="15">
        <v>264</v>
      </c>
      <c r="G15" s="15">
        <v>2.4216039268698313</v>
      </c>
      <c r="H15" s="15">
        <v>223</v>
      </c>
      <c r="I15" s="15">
        <v>41</v>
      </c>
      <c r="J15" s="16">
        <v>0</v>
      </c>
      <c r="K15" s="16">
        <v>1</v>
      </c>
      <c r="L15" s="17">
        <v>7.9959099708997339E-2</v>
      </c>
      <c r="M15" s="18">
        <v>16</v>
      </c>
      <c r="N15" s="18">
        <v>17</v>
      </c>
      <c r="O15" s="18">
        <v>0.88823959094229366</v>
      </c>
      <c r="P15" s="18">
        <v>1</v>
      </c>
      <c r="Q15" s="18">
        <v>1</v>
      </c>
      <c r="R15" s="18">
        <v>16</v>
      </c>
      <c r="S15" s="18">
        <v>3</v>
      </c>
      <c r="T15" s="19">
        <v>1796.4</v>
      </c>
      <c r="U15" s="19">
        <v>3.254403046390677</v>
      </c>
      <c r="V15" s="20">
        <v>3261</v>
      </c>
      <c r="W15" s="20">
        <v>3.5133507988059569</v>
      </c>
      <c r="X15" s="20">
        <v>0.48795451144695495</v>
      </c>
      <c r="Y15" s="20">
        <v>0.24147588759999999</v>
      </c>
      <c r="Z15" s="20">
        <f t="shared" si="3"/>
        <v>-0.61712622890865598</v>
      </c>
      <c r="AA15" s="20"/>
      <c r="AD15" s="21">
        <v>1087.24</v>
      </c>
      <c r="AE15" s="21">
        <f t="shared" si="0"/>
        <v>0.32929822563488736</v>
      </c>
      <c r="AF15" s="21">
        <f t="shared" si="1"/>
        <v>3.0363254218882667</v>
      </c>
      <c r="AG15" s="22">
        <v>0.32528815563433006</v>
      </c>
      <c r="AH15" s="22">
        <v>324.41899999999998</v>
      </c>
      <c r="AI15" s="22">
        <v>5.2222853999999996</v>
      </c>
      <c r="AJ15" s="23">
        <v>6683</v>
      </c>
      <c r="AK15" s="23">
        <f>LOG(AJ15)</f>
        <v>3.8249714611236931</v>
      </c>
      <c r="AL15" s="24">
        <v>0.91715203000000001</v>
      </c>
      <c r="AM15" s="22">
        <v>1986.172</v>
      </c>
      <c r="AN15" s="22">
        <f t="shared" si="4"/>
        <v>0.60156259464855555</v>
      </c>
      <c r="AO15" s="23">
        <v>-0.10609229110335983</v>
      </c>
      <c r="AP15" s="23">
        <v>5.2766916051598313E-2</v>
      </c>
      <c r="AQ15" s="23">
        <v>0.72236171269311189</v>
      </c>
      <c r="AR15" s="23">
        <v>3301.6880000000001</v>
      </c>
      <c r="AS15" s="23">
        <v>3.5187360312888809</v>
      </c>
      <c r="AT15" s="23">
        <f>LOG(3643.84)</f>
        <v>3.5615592989698239</v>
      </c>
      <c r="AU15" s="22">
        <v>0.98699999999999999</v>
      </c>
      <c r="AV15" s="22">
        <v>0.82438450009999997</v>
      </c>
      <c r="AW15" s="22">
        <v>6.87</v>
      </c>
      <c r="AX15" s="22"/>
      <c r="AY15" s="22">
        <v>1</v>
      </c>
      <c r="AZ15" s="24">
        <v>1958.672</v>
      </c>
      <c r="BA15" s="24">
        <f t="shared" si="5"/>
        <v>3.2919617149551001</v>
      </c>
      <c r="BB15" s="24">
        <v>1491.068</v>
      </c>
      <c r="BC15" s="24">
        <f t="shared" si="6"/>
        <v>3.1734974498590018</v>
      </c>
      <c r="BD15" s="24">
        <v>467.60400000000004</v>
      </c>
      <c r="BE15" s="23">
        <v>-207.8</v>
      </c>
      <c r="BF15" s="23">
        <v>239392.1</v>
      </c>
      <c r="BG15" s="23">
        <v>-0.99956617229515321</v>
      </c>
      <c r="BH15" s="23">
        <v>-6.2937503483066842E-2</v>
      </c>
      <c r="BI15" s="23">
        <v>-0.13145253359093703</v>
      </c>
      <c r="BJ15" s="23">
        <v>8.6683860738553359E-2</v>
      </c>
      <c r="BK15" s="23">
        <v>0.52121498335726213</v>
      </c>
      <c r="BL15" s="23">
        <v>-478</v>
      </c>
      <c r="BM15" s="22">
        <v>-61.127000000000002</v>
      </c>
      <c r="BN15" s="22"/>
      <c r="BO15" s="22"/>
      <c r="BP15" s="22">
        <v>-3.1208390174567259E-2</v>
      </c>
      <c r="BQ15" s="22"/>
      <c r="BR15" s="22"/>
      <c r="BS15" s="22">
        <v>-72.876000000000005</v>
      </c>
      <c r="BT15" s="22">
        <v>1.8625845271701884</v>
      </c>
      <c r="BU15" s="22">
        <v>2.2072346024215494E-2</v>
      </c>
      <c r="BV15" s="23">
        <v>51.448999999999998</v>
      </c>
      <c r="BW15" s="22">
        <v>1297.914</v>
      </c>
      <c r="BX15" s="22">
        <v>6.98</v>
      </c>
      <c r="BY15" s="22">
        <v>0.84385542262316116</v>
      </c>
      <c r="BZ15" s="25">
        <v>-0.46058732612055636</v>
      </c>
      <c r="CA15" s="23">
        <v>2.9289569919413454</v>
      </c>
      <c r="CB15" s="23">
        <v>292.89569919413452</v>
      </c>
      <c r="CC15" s="23">
        <v>2.466712994658832</v>
      </c>
      <c r="CD15" s="23">
        <v>2.6436985700000002</v>
      </c>
      <c r="CE15" s="23">
        <v>3.9910305202485357</v>
      </c>
      <c r="CF15" s="23">
        <v>5.8051001821493626</v>
      </c>
      <c r="CG15" s="23">
        <f t="shared" si="7"/>
        <v>1.7587368729078059</v>
      </c>
      <c r="CH15" s="26">
        <v>28.62</v>
      </c>
      <c r="CI15" s="26">
        <v>23.8</v>
      </c>
      <c r="CJ15" s="26">
        <v>1.4566696294237576</v>
      </c>
      <c r="CK15" s="26">
        <v>1.3765769570565121</v>
      </c>
      <c r="CL15" s="26">
        <v>0.20252100840336135</v>
      </c>
      <c r="CM15" s="27">
        <v>28.164291187739472</v>
      </c>
      <c r="CN15" s="27">
        <v>5.6821432935815153E-2</v>
      </c>
      <c r="CQ15" s="27">
        <v>125.09884615384618</v>
      </c>
      <c r="CR15" s="27">
        <v>0.13726223776223803</v>
      </c>
      <c r="CS15" s="27">
        <v>0.92386973180076593</v>
      </c>
      <c r="CT15" s="27">
        <v>1.0645593900000001</v>
      </c>
      <c r="CU15" s="27">
        <v>-0.12842478132003218</v>
      </c>
      <c r="CX15" s="28">
        <v>0.76</v>
      </c>
      <c r="CY15" s="28">
        <v>0.82</v>
      </c>
      <c r="CZ15" s="29">
        <v>37.275402300000003</v>
      </c>
      <c r="DA15" s="27">
        <v>0.32652677224199295</v>
      </c>
      <c r="DB15" s="27">
        <v>2.5105365885464708</v>
      </c>
      <c r="DC15" s="27">
        <v>1.25643310503606</v>
      </c>
      <c r="DD15" s="27">
        <v>2</v>
      </c>
      <c r="DE15" s="28">
        <v>1.57</v>
      </c>
      <c r="DF15" s="28">
        <v>88.088397000000001</v>
      </c>
      <c r="DG15" s="28">
        <v>4.4783408216579135</v>
      </c>
      <c r="DH15" s="28">
        <v>0.90616699999999994</v>
      </c>
      <c r="DI15" s="28">
        <v>1.0295190000000001</v>
      </c>
      <c r="DJ15" s="27">
        <v>1.2</v>
      </c>
      <c r="DK15" s="27">
        <v>2.2999999999999998</v>
      </c>
      <c r="DL15" s="27">
        <v>1.1731637610823707E-2</v>
      </c>
      <c r="DM15" s="27">
        <v>0.95289999999999997</v>
      </c>
      <c r="DN15" s="28">
        <v>1.1605000000000001</v>
      </c>
      <c r="DO15" s="28">
        <v>9.3264248704663183E-2</v>
      </c>
      <c r="DP15" s="28">
        <f>(DM15-1.1242)/1.1242</f>
        <v>-0.15237502223803603</v>
      </c>
      <c r="DQ15" s="27">
        <v>0.20879999999999999</v>
      </c>
      <c r="DR15" s="27">
        <v>6.0688564775993471E-2</v>
      </c>
      <c r="DS15" s="27">
        <v>3.9305854754660308E-2</v>
      </c>
      <c r="DT15" s="27">
        <v>3.268886E-2</v>
      </c>
      <c r="DU15" s="30">
        <v>5.7817160000000003</v>
      </c>
      <c r="DV15">
        <v>0.9</v>
      </c>
      <c r="DW15">
        <v>2.8</v>
      </c>
      <c r="DX15">
        <v>84</v>
      </c>
      <c r="DY15">
        <v>80.900000000000006</v>
      </c>
      <c r="DZ15">
        <v>2.2000000000000002</v>
      </c>
      <c r="EA15">
        <v>3</v>
      </c>
      <c r="EB15">
        <v>1.701892</v>
      </c>
    </row>
    <row r="16" spans="1:132" ht="18">
      <c r="A16" s="14" t="s">
        <v>136</v>
      </c>
      <c r="B16" s="14">
        <v>2</v>
      </c>
      <c r="C16" s="14" t="s">
        <v>137</v>
      </c>
      <c r="D16" s="14" t="s">
        <v>138</v>
      </c>
      <c r="E16" s="14" t="s">
        <v>139</v>
      </c>
      <c r="F16" s="15">
        <v>62.487000000000002</v>
      </c>
      <c r="G16" s="15">
        <v>1.7957896746958781</v>
      </c>
      <c r="H16" s="15">
        <v>54</v>
      </c>
      <c r="I16" s="15">
        <v>8.3000000000000007</v>
      </c>
      <c r="J16" s="16">
        <v>0</v>
      </c>
      <c r="K16" s="16">
        <v>1</v>
      </c>
      <c r="L16" s="17">
        <v>2.1785530004044235E-2</v>
      </c>
      <c r="M16" s="18">
        <v>16</v>
      </c>
      <c r="N16" s="18">
        <v>17</v>
      </c>
      <c r="O16" s="18">
        <v>0.88823959094229366</v>
      </c>
      <c r="P16" s="18">
        <v>1</v>
      </c>
      <c r="Q16" s="18">
        <v>1</v>
      </c>
      <c r="R16" s="18">
        <v>16</v>
      </c>
      <c r="S16" s="18">
        <v>3</v>
      </c>
      <c r="T16" s="19">
        <v>1403.7</v>
      </c>
      <c r="U16" s="19">
        <v>3.1472742999118428</v>
      </c>
      <c r="V16" s="20">
        <v>2273</v>
      </c>
      <c r="W16" s="20">
        <v>3.3565994357249709</v>
      </c>
      <c r="X16" s="20">
        <v>0.43897257628427966</v>
      </c>
      <c r="Y16" s="20">
        <v>0.39882717820000002</v>
      </c>
      <c r="Z16" s="20">
        <f t="shared" si="3"/>
        <v>-0.39921525422169646</v>
      </c>
      <c r="AA16" s="20"/>
      <c r="AD16" s="21">
        <v>396.14699999999999</v>
      </c>
      <c r="AE16" s="21">
        <f t="shared" si="0"/>
        <v>0.1381130851939141</v>
      </c>
      <c r="AF16" s="21">
        <f t="shared" si="1"/>
        <v>2.5978563713862224</v>
      </c>
      <c r="AG16" s="22">
        <v>0.10662801400142245</v>
      </c>
      <c r="AH16" s="22">
        <v>305.839</v>
      </c>
      <c r="AI16" s="22">
        <v>4.0308200000000003</v>
      </c>
      <c r="AJ16" s="23">
        <v>5178</v>
      </c>
      <c r="AK16" s="23">
        <f t="shared" ref="AK16:AK79" si="10">LOG(AJ16)</f>
        <v>3.7141620460988531</v>
      </c>
      <c r="AL16" s="24">
        <v>0.90987640800000003</v>
      </c>
      <c r="AM16" s="22">
        <v>1727.075</v>
      </c>
      <c r="AN16" s="22">
        <f t="shared" si="4"/>
        <v>0.60212915057107397</v>
      </c>
      <c r="AO16" s="23">
        <v>-0.10384141950312982</v>
      </c>
      <c r="AP16" s="23">
        <v>1.125435800115003E-3</v>
      </c>
      <c r="AQ16" s="23">
        <v>-0.94867927405397656</v>
      </c>
      <c r="AR16" s="23">
        <v>2868.28</v>
      </c>
      <c r="AS16" s="23">
        <v>3.4576215446663885</v>
      </c>
      <c r="AT16" s="23">
        <v>3.5187360312888809</v>
      </c>
      <c r="AU16" s="22">
        <v>0.94699999999999995</v>
      </c>
      <c r="AV16" s="22">
        <v>0.7536450442</v>
      </c>
      <c r="AW16" s="22">
        <v>4.5999999999999996</v>
      </c>
      <c r="AX16" s="22">
        <v>6.87</v>
      </c>
      <c r="AY16" s="22">
        <v>1</v>
      </c>
      <c r="AZ16" s="24">
        <v>1542.7370000000001</v>
      </c>
      <c r="BA16" s="24">
        <f t="shared" si="5"/>
        <v>3.1882918954837325</v>
      </c>
      <c r="BB16" s="24">
        <v>1173.9549999999999</v>
      </c>
      <c r="BC16" s="24">
        <f t="shared" si="6"/>
        <v>3.0696514498704999</v>
      </c>
      <c r="BD16" s="24">
        <v>368.78200000000015</v>
      </c>
      <c r="BE16" s="23">
        <v>-160.19999999999999</v>
      </c>
      <c r="BF16" s="23">
        <f>STDEVP(BE15:BE16)</f>
        <v>23.80000000000005</v>
      </c>
      <c r="BG16" s="23">
        <v>-0.22906641000962474</v>
      </c>
      <c r="BH16" s="23">
        <v>-5.5852287782224883E-2</v>
      </c>
      <c r="BI16" s="23">
        <v>-6.2937503483066842E-2</v>
      </c>
      <c r="BJ16" s="23">
        <v>8.6683860738553359E-2</v>
      </c>
      <c r="BK16" s="23">
        <v>-0.11257541702060389</v>
      </c>
      <c r="BL16" s="23">
        <v>-207.8</v>
      </c>
      <c r="BM16" s="22">
        <v>532.65899999999999</v>
      </c>
      <c r="BN16" s="22">
        <f>STDEVP(BM15:BM16)</f>
        <v>296.89299999999997</v>
      </c>
      <c r="BO16" s="22">
        <v>2.7264492694166527</v>
      </c>
      <c r="BP16" s="22">
        <v>0.34526883065616498</v>
      </c>
      <c r="BQ16" s="22">
        <v>0.18823861041536613</v>
      </c>
      <c r="BR16" s="22"/>
      <c r="BS16" s="22">
        <v>-49.027999999999999</v>
      </c>
      <c r="BT16" s="22">
        <v>1.6904441774256653</v>
      </c>
      <c r="BU16" s="22">
        <v>1.709317082014308E-2</v>
      </c>
      <c r="BV16" s="23">
        <v>117.184</v>
      </c>
      <c r="BW16" s="23">
        <v>1080.2180000000001</v>
      </c>
      <c r="BX16" s="22">
        <v>15.59</v>
      </c>
      <c r="BY16" s="22">
        <v>1.1928461151888416</v>
      </c>
      <c r="BZ16" s="25">
        <v>1.2335243553008595</v>
      </c>
      <c r="CA16" s="23">
        <v>3.9910305202485357</v>
      </c>
      <c r="CB16" s="23">
        <v>399.10305202485358</v>
      </c>
      <c r="CC16" s="23">
        <v>2.6010850489378305</v>
      </c>
      <c r="CD16" s="23">
        <v>2.9289569919413454</v>
      </c>
      <c r="CE16" s="23">
        <v>2.7759121499224668</v>
      </c>
      <c r="CF16" s="23">
        <v>3.1594454072790299</v>
      </c>
      <c r="CG16" s="23">
        <f t="shared" si="7"/>
        <v>1.1503965081705636</v>
      </c>
      <c r="CH16" s="26">
        <v>18.309999999999999</v>
      </c>
      <c r="CI16" s="26">
        <v>28.62</v>
      </c>
      <c r="CJ16" s="26">
        <v>1.2626883443016965</v>
      </c>
      <c r="CK16" s="26">
        <v>1.4566696294237576</v>
      </c>
      <c r="CL16" s="26">
        <v>-0.36023759608665273</v>
      </c>
      <c r="CM16" s="27">
        <v>22.615402298850572</v>
      </c>
      <c r="CN16" s="27">
        <v>-0.19701858825065877</v>
      </c>
      <c r="CQ16" s="27">
        <v>115.89653846153851</v>
      </c>
      <c r="CR16" s="27">
        <v>-7.3560292322686169E-2</v>
      </c>
      <c r="CS16" s="27">
        <v>0.92888888888888932</v>
      </c>
      <c r="CT16" s="27">
        <v>0.92386973180076604</v>
      </c>
      <c r="CU16" s="27">
        <v>5.4327541160378483E-3</v>
      </c>
      <c r="CX16" s="28">
        <v>0.66</v>
      </c>
      <c r="CY16" s="28">
        <v>0.76</v>
      </c>
      <c r="CZ16" s="29">
        <v>31.998965519999999</v>
      </c>
      <c r="DA16" s="27">
        <v>-0.14155277889515908</v>
      </c>
      <c r="DB16" s="27">
        <v>2.6347679627304119</v>
      </c>
      <c r="DC16" s="27">
        <v>2.5105365885464708</v>
      </c>
      <c r="DD16" s="27">
        <v>2</v>
      </c>
      <c r="DE16" s="28">
        <v>1.79</v>
      </c>
      <c r="DF16" s="28">
        <v>90.040391999999997</v>
      </c>
      <c r="DG16" s="28">
        <v>4.5002583696496679</v>
      </c>
      <c r="DH16" s="28">
        <v>0.92536499999999999</v>
      </c>
      <c r="DI16" s="28">
        <v>1.082641</v>
      </c>
      <c r="DJ16" s="27">
        <v>1.9</v>
      </c>
      <c r="DK16" s="27">
        <v>2</v>
      </c>
      <c r="DL16" s="27">
        <v>1.6216043547496031E-2</v>
      </c>
      <c r="DM16" s="27">
        <v>0.79400000000000004</v>
      </c>
      <c r="DN16" s="28">
        <v>1.1231</v>
      </c>
      <c r="DO16" s="28">
        <v>-3.2227488151658851E-2</v>
      </c>
      <c r="DP16" s="28">
        <f>(DM16-DM15)/DM15</f>
        <v>-0.16675411900514214</v>
      </c>
      <c r="DQ16" s="27">
        <v>0.17130000000000001</v>
      </c>
      <c r="DR16" s="27">
        <v>3.9305854754660308E-2</v>
      </c>
      <c r="DS16" s="27">
        <v>2.6867542601332471E-2</v>
      </c>
      <c r="DT16" s="27">
        <v>6.0688564775993471E-2</v>
      </c>
      <c r="DU16" s="30">
        <v>5.9865389999999996</v>
      </c>
      <c r="DV16">
        <v>0.9</v>
      </c>
      <c r="DW16">
        <v>2.8</v>
      </c>
      <c r="DX16">
        <v>85.7</v>
      </c>
      <c r="DY16">
        <v>82.9</v>
      </c>
      <c r="DZ16">
        <v>2.4</v>
      </c>
      <c r="EA16">
        <v>2</v>
      </c>
      <c r="EB16">
        <v>1.4781599999999999</v>
      </c>
    </row>
    <row r="17" spans="1:132" ht="18">
      <c r="A17" s="14" t="s">
        <v>136</v>
      </c>
      <c r="B17" s="14">
        <v>3</v>
      </c>
      <c r="C17" s="14" t="s">
        <v>137</v>
      </c>
      <c r="D17" s="14" t="s">
        <v>138</v>
      </c>
      <c r="E17" s="14" t="s">
        <v>139</v>
      </c>
      <c r="F17" s="15">
        <v>161.60400000000001</v>
      </c>
      <c r="G17" s="15">
        <v>2.2084521061689402</v>
      </c>
      <c r="H17" s="15">
        <v>82.7</v>
      </c>
      <c r="I17" s="15">
        <v>78.8</v>
      </c>
      <c r="J17" s="16">
        <v>0</v>
      </c>
      <c r="K17" s="16">
        <v>1</v>
      </c>
      <c r="L17" s="17">
        <v>4.9819869867308554E-2</v>
      </c>
      <c r="M17" s="18">
        <v>16</v>
      </c>
      <c r="N17" s="18">
        <v>17</v>
      </c>
      <c r="O17" s="18">
        <v>0.88823959094229366</v>
      </c>
      <c r="P17" s="18">
        <v>1</v>
      </c>
      <c r="Q17" s="18">
        <v>1</v>
      </c>
      <c r="R17" s="18">
        <v>16</v>
      </c>
      <c r="S17" s="18">
        <v>3</v>
      </c>
      <c r="T17" s="19">
        <v>2327.6</v>
      </c>
      <c r="U17" s="19">
        <v>3.3669083485213731</v>
      </c>
      <c r="V17" s="20">
        <v>2250</v>
      </c>
      <c r="W17" s="20">
        <v>3.3521825181113627</v>
      </c>
      <c r="X17" s="20">
        <v>0.44369946756063894</v>
      </c>
      <c r="Y17" s="20">
        <v>0.37179586650000002</v>
      </c>
      <c r="Z17" s="20">
        <f t="shared" si="3"/>
        <v>-0.42969544287563144</v>
      </c>
      <c r="AA17" s="20"/>
      <c r="AD17" s="21">
        <v>437.03100000000001</v>
      </c>
      <c r="AE17" s="21">
        <f t="shared" si="0"/>
        <v>0.13472950884866541</v>
      </c>
      <c r="AF17" s="21">
        <f t="shared" si="1"/>
        <v>2.6405122439531139</v>
      </c>
      <c r="AG17" s="22">
        <v>0.10879329766697103</v>
      </c>
      <c r="AH17" s="22">
        <v>352.9</v>
      </c>
      <c r="AI17" s="22">
        <v>4.0959987120000001</v>
      </c>
      <c r="AJ17" s="23">
        <v>5071</v>
      </c>
      <c r="AK17" s="23">
        <f t="shared" si="10"/>
        <v>3.7050936105478733</v>
      </c>
      <c r="AL17" s="24">
        <v>0.94411524099999999</v>
      </c>
      <c r="AM17" s="22">
        <v>1852.164</v>
      </c>
      <c r="AN17" s="22">
        <f t="shared" si="4"/>
        <v>0.57099186562779192</v>
      </c>
      <c r="AO17" s="23">
        <v>9.5506691268718746E-2</v>
      </c>
      <c r="AP17" s="23">
        <v>9.9674055385924276E-2</v>
      </c>
      <c r="AQ17" s="23">
        <v>0.99858212853182815</v>
      </c>
      <c r="AR17" s="23">
        <v>3243.7660000000001</v>
      </c>
      <c r="AS17" s="23">
        <v>3.5110495173719776</v>
      </c>
      <c r="AT17" s="23">
        <v>3.4576215446663885</v>
      </c>
      <c r="AU17" s="22">
        <v>0.83399999999999996</v>
      </c>
      <c r="AV17" s="22">
        <v>0.58733244129999995</v>
      </c>
      <c r="AW17" s="22">
        <v>5.7</v>
      </c>
      <c r="AX17" s="22">
        <v>4.5999999999999996</v>
      </c>
      <c r="AY17" s="22">
        <v>1</v>
      </c>
      <c r="AZ17" s="24">
        <v>2465.377</v>
      </c>
      <c r="BA17" s="24">
        <f t="shared" si="5"/>
        <v>3.3918833400434716</v>
      </c>
      <c r="BB17" s="24">
        <v>1559.7380000000001</v>
      </c>
      <c r="BC17" s="24">
        <f t="shared" si="6"/>
        <v>3.1930516530273052</v>
      </c>
      <c r="BD17" s="24">
        <v>905.6389999999999</v>
      </c>
      <c r="BE17" s="23">
        <v>235.46</v>
      </c>
      <c r="BF17" s="23">
        <f t="shared" ref="BF17:BF27" si="11">STDEVP(BE16:BE17)</f>
        <v>197.82999999999998</v>
      </c>
      <c r="BG17" s="23">
        <v>-2.4697877652933831</v>
      </c>
      <c r="BH17" s="23">
        <v>7.2588466615656003E-2</v>
      </c>
      <c r="BI17" s="23">
        <v>-5.5852287782224883E-2</v>
      </c>
      <c r="BJ17" s="23">
        <v>8.6683860738553359E-2</v>
      </c>
      <c r="BK17" s="23">
        <v>-2.2996507304891001</v>
      </c>
      <c r="BL17" s="23">
        <v>-160.19999999999999</v>
      </c>
      <c r="BM17" s="22">
        <v>257.14699999999999</v>
      </c>
      <c r="BN17" s="22">
        <f t="shared" ref="BN17:BN26" si="12">STDEVP(BM16:BM17)</f>
        <v>137.75599999999991</v>
      </c>
      <c r="BO17" s="22">
        <v>2.4101814619993385</v>
      </c>
      <c r="BP17" s="22">
        <v>0.1043033175047873</v>
      </c>
      <c r="BQ17" s="22">
        <v>0.12048275657568888</v>
      </c>
      <c r="BR17" s="22">
        <v>0.18823861041536613</v>
      </c>
      <c r="BS17" s="22">
        <v>-60.398000000000003</v>
      </c>
      <c r="BT17" s="22">
        <v>1.7810225577710534</v>
      </c>
      <c r="BU17" s="22">
        <v>1.8619715478860065E-2</v>
      </c>
      <c r="BV17" s="23">
        <v>41.527000000000001</v>
      </c>
      <c r="BW17" s="22">
        <v>1160.5609999999999</v>
      </c>
      <c r="BX17" s="22">
        <v>12.09</v>
      </c>
      <c r="BY17" s="22">
        <v>1.082426300860772</v>
      </c>
      <c r="BZ17" s="25">
        <v>-0.22450288646568314</v>
      </c>
      <c r="CA17" s="23">
        <v>2.7759121499224668</v>
      </c>
      <c r="CB17" s="23">
        <v>277.59121499224671</v>
      </c>
      <c r="CC17" s="23">
        <v>2.4434057177599002</v>
      </c>
      <c r="CD17" s="23">
        <v>3.9910305202485357</v>
      </c>
      <c r="CE17" s="23">
        <v>2.5345829915053892</v>
      </c>
      <c r="CF17" s="23">
        <v>1.846820809248555</v>
      </c>
      <c r="CG17" s="23">
        <f t="shared" si="7"/>
        <v>0.61346567931981055</v>
      </c>
      <c r="CH17" s="26">
        <v>13.29</v>
      </c>
      <c r="CI17" s="26">
        <v>18.309999999999999</v>
      </c>
      <c r="CJ17" s="26">
        <v>1.1235249809427319</v>
      </c>
      <c r="CK17" s="26">
        <v>1.2626883443016965</v>
      </c>
      <c r="CL17" s="26">
        <v>-0.27416712179137082</v>
      </c>
      <c r="CM17" s="27">
        <v>16.030268199233717</v>
      </c>
      <c r="CN17" s="27">
        <v>-0.29117917128326054</v>
      </c>
      <c r="CQ17" s="27">
        <v>102.09153846153851</v>
      </c>
      <c r="CR17" s="27">
        <v>-0.11911486040268011</v>
      </c>
      <c r="CS17" s="27">
        <v>0.9859003831417622</v>
      </c>
      <c r="CT17" s="27">
        <v>0.92888888888888899</v>
      </c>
      <c r="CU17" s="27">
        <v>6.1376010559312889E-2</v>
      </c>
      <c r="CV17" s="27">
        <v>1.140877862595419</v>
      </c>
      <c r="CW17" s="27">
        <v>2.0572391532349976</v>
      </c>
      <c r="CX17" s="28">
        <v>1.07</v>
      </c>
      <c r="CY17" s="28">
        <v>0.66</v>
      </c>
      <c r="CZ17" s="29">
        <v>18.886297710000001</v>
      </c>
      <c r="DA17" s="27">
        <v>-0.40978411635852152</v>
      </c>
      <c r="DB17" s="27">
        <v>266.87708664986224</v>
      </c>
      <c r="DC17" s="27">
        <v>2.6347679627304119</v>
      </c>
      <c r="DD17" s="27">
        <v>2</v>
      </c>
      <c r="DE17" s="28">
        <v>1.99</v>
      </c>
      <c r="DF17" s="28">
        <v>90.930610000000001</v>
      </c>
      <c r="DG17" s="28">
        <v>4.510096688172375</v>
      </c>
      <c r="DH17" s="28">
        <v>0.93898599999999999</v>
      </c>
      <c r="DI17" s="28">
        <v>1.095262</v>
      </c>
      <c r="DJ17" s="27">
        <v>3.1</v>
      </c>
      <c r="DK17" s="27">
        <v>2.1</v>
      </c>
      <c r="DL17" s="27">
        <v>1.3035848693861207E-2</v>
      </c>
      <c r="DM17" s="27">
        <v>0.73780000000000001</v>
      </c>
      <c r="DN17" s="28">
        <v>0.95269999999999999</v>
      </c>
      <c r="DO17" s="28">
        <v>-0.15172290980322323</v>
      </c>
      <c r="DP17" s="28">
        <f t="shared" ref="DP17:DP27" si="13">(DM17-DM16)/DM16</f>
        <v>-7.0780856423173832E-2</v>
      </c>
      <c r="DQ17" s="27">
        <v>0.11370000000000002</v>
      </c>
      <c r="DR17" s="27">
        <v>2.6867542601332471E-2</v>
      </c>
      <c r="DS17" s="27">
        <v>3.2347817198611614E-2</v>
      </c>
      <c r="DT17" s="27">
        <v>3.9305854754660308E-2</v>
      </c>
      <c r="DU17" s="30">
        <v>5.5230399999999999</v>
      </c>
      <c r="DV17">
        <v>0.3</v>
      </c>
      <c r="DW17">
        <v>2.6</v>
      </c>
      <c r="DX17">
        <v>88</v>
      </c>
      <c r="DY17">
        <v>85.1</v>
      </c>
      <c r="DZ17">
        <v>2</v>
      </c>
      <c r="EA17">
        <v>1.5</v>
      </c>
      <c r="EB17">
        <v>1.913224</v>
      </c>
    </row>
    <row r="18" spans="1:132" ht="18">
      <c r="A18" s="14" t="s">
        <v>136</v>
      </c>
      <c r="B18" s="14">
        <v>4</v>
      </c>
      <c r="C18" s="14" t="s">
        <v>137</v>
      </c>
      <c r="D18" s="14" t="s">
        <v>138</v>
      </c>
      <c r="E18" s="14" t="s">
        <v>139</v>
      </c>
      <c r="F18" s="15">
        <v>63.417000000000002</v>
      </c>
      <c r="G18" s="15">
        <v>1.8022056934737523</v>
      </c>
      <c r="H18" s="15">
        <v>93.2</v>
      </c>
      <c r="I18" s="15">
        <v>29.8</v>
      </c>
      <c r="J18" s="16">
        <v>0</v>
      </c>
      <c r="K18" s="16">
        <v>1</v>
      </c>
      <c r="L18" s="17">
        <v>1.6884185303514376E-2</v>
      </c>
      <c r="M18" s="18">
        <v>16</v>
      </c>
      <c r="N18" s="18">
        <v>17</v>
      </c>
      <c r="O18" s="18">
        <v>0.88823959094229366</v>
      </c>
      <c r="P18" s="18">
        <v>1</v>
      </c>
      <c r="Q18" s="18">
        <v>1</v>
      </c>
      <c r="R18" s="18">
        <v>16</v>
      </c>
      <c r="S18" s="18">
        <v>3</v>
      </c>
      <c r="T18" s="19">
        <v>2311</v>
      </c>
      <c r="U18" s="19">
        <v>3.3637999454791094</v>
      </c>
      <c r="V18" s="20">
        <v>2273</v>
      </c>
      <c r="W18" s="20">
        <v>3.3565994357249709</v>
      </c>
      <c r="X18" s="20">
        <v>0.44965380811078143</v>
      </c>
      <c r="Y18" s="20">
        <v>0.33040862160000001</v>
      </c>
      <c r="Z18" s="20">
        <f t="shared" si="3"/>
        <v>-0.48094862883212403</v>
      </c>
      <c r="AA18" s="20"/>
      <c r="AD18" s="21">
        <v>490.09699999999998</v>
      </c>
      <c r="AE18" s="21">
        <f t="shared" si="0"/>
        <v>0.13048375931842385</v>
      </c>
      <c r="AF18" s="21">
        <f t="shared" si="1"/>
        <v>2.6902820441012172</v>
      </c>
      <c r="AG18" s="22">
        <v>8.622843450479234E-2</v>
      </c>
      <c r="AH18" s="22">
        <v>323.87400000000002</v>
      </c>
      <c r="AI18" s="22">
        <v>4.0891743780000001</v>
      </c>
      <c r="AJ18" s="23">
        <v>5055</v>
      </c>
      <c r="AK18" s="23">
        <f t="shared" si="10"/>
        <v>3.7037211599270199</v>
      </c>
      <c r="AL18" s="24">
        <v>0.91381184500000001</v>
      </c>
      <c r="AM18" s="22">
        <v>2044.1859999999999</v>
      </c>
      <c r="AN18" s="22">
        <f t="shared" si="4"/>
        <v>0.54424547390841316</v>
      </c>
      <c r="AO18" s="23">
        <v>0.12315858609463863</v>
      </c>
      <c r="AP18" s="23">
        <v>1.3825947412959901E-2</v>
      </c>
      <c r="AQ18" s="23">
        <v>0.14069490070895124</v>
      </c>
      <c r="AR18" s="23">
        <v>3756</v>
      </c>
      <c r="AS18" s="23">
        <v>3.5747255835940734</v>
      </c>
      <c r="AT18" s="23">
        <v>3.5110495173719776</v>
      </c>
      <c r="AU18" s="22">
        <v>0.42399999999999999</v>
      </c>
      <c r="AV18" s="22">
        <v>0.22347805309999999</v>
      </c>
      <c r="AW18" s="22">
        <v>7</v>
      </c>
      <c r="AX18" s="22">
        <v>5.7</v>
      </c>
      <c r="AY18" s="22">
        <v>1</v>
      </c>
      <c r="AZ18" s="24">
        <v>2528.9670000000001</v>
      </c>
      <c r="BA18" s="24">
        <f t="shared" si="5"/>
        <v>3.4029431623568964</v>
      </c>
      <c r="BB18" s="24">
        <v>1554.7719999999999</v>
      </c>
      <c r="BC18" s="24">
        <f t="shared" si="6"/>
        <v>3.1916667107893097</v>
      </c>
      <c r="BD18" s="24">
        <v>974.19500000000016</v>
      </c>
      <c r="BE18" s="23">
        <v>311.464</v>
      </c>
      <c r="BF18" s="23">
        <f t="shared" si="11"/>
        <v>38.002000000000045</v>
      </c>
      <c r="BG18" s="23">
        <v>0.32278943344941813</v>
      </c>
      <c r="BH18" s="23">
        <v>8.2924387646432368E-2</v>
      </c>
      <c r="BI18" s="23">
        <v>7.2588466615656003E-2</v>
      </c>
      <c r="BJ18" s="23">
        <v>8.6683860738553359E-2</v>
      </c>
      <c r="BK18" s="23">
        <v>0.14239067874933037</v>
      </c>
      <c r="BL18" s="23">
        <v>235.46</v>
      </c>
      <c r="BM18" s="22">
        <v>711.49300000000005</v>
      </c>
      <c r="BN18" s="22">
        <f t="shared" si="12"/>
        <v>227.17299999999994</v>
      </c>
      <c r="BO18" s="22">
        <v>2.8521706316496385</v>
      </c>
      <c r="BP18" s="22">
        <v>0.28133739981581413</v>
      </c>
      <c r="BQ18" s="22">
        <v>8.8517041155513385E-2</v>
      </c>
      <c r="BR18" s="22">
        <v>0.12048275657568888</v>
      </c>
      <c r="BS18" s="22">
        <v>-60.802999999999997</v>
      </c>
      <c r="BT18" s="22">
        <v>1.7839250077481175</v>
      </c>
      <c r="BU18" s="22">
        <v>1.6188232161874334E-2</v>
      </c>
      <c r="BV18" s="23">
        <v>57.923999999999999</v>
      </c>
      <c r="BW18" s="22">
        <v>726.52</v>
      </c>
      <c r="BX18" s="22">
        <v>15.24</v>
      </c>
      <c r="BY18" s="22">
        <v>1.1829849670035817</v>
      </c>
      <c r="BZ18" s="25">
        <v>0.26054590570719605</v>
      </c>
      <c r="CA18" s="23">
        <v>2.5345829915053892</v>
      </c>
      <c r="CB18" s="23">
        <v>253.45829915053892</v>
      </c>
      <c r="CC18" s="23">
        <v>2.4039065161799544</v>
      </c>
      <c r="CD18" s="23">
        <v>2.7759121499224668</v>
      </c>
      <c r="CE18" s="23">
        <v>4.6043257728450531</v>
      </c>
      <c r="CF18" s="23">
        <v>1.5618073316283034</v>
      </c>
      <c r="CG18" s="23">
        <f t="shared" si="7"/>
        <v>0.44584369658060008</v>
      </c>
      <c r="CH18" s="26">
        <v>12.07</v>
      </c>
      <c r="CI18" s="26">
        <v>13.29</v>
      </c>
      <c r="CJ18" s="26">
        <v>1.0817072700973491</v>
      </c>
      <c r="CK18" s="26">
        <v>1.1235249809427319</v>
      </c>
      <c r="CL18" s="26">
        <v>-9.1798344620014974E-2</v>
      </c>
      <c r="CM18" s="27">
        <v>13.248115384615385</v>
      </c>
      <c r="CN18" s="27">
        <v>-0.17355622376619531</v>
      </c>
      <c r="CQ18" s="27">
        <v>81.715444015443992</v>
      </c>
      <c r="CR18" s="27">
        <v>-0.1995865157206041</v>
      </c>
      <c r="CS18" s="27">
        <v>0.91873076923076902</v>
      </c>
      <c r="CT18" s="27">
        <v>0.9859003831417622</v>
      </c>
      <c r="CU18" s="27">
        <v>-6.8130223965370842E-2</v>
      </c>
      <c r="CV18" s="27">
        <v>1.0315769230769232</v>
      </c>
      <c r="CW18" s="27">
        <v>2.0135016181765906</v>
      </c>
      <c r="CX18" s="28">
        <v>0.94</v>
      </c>
      <c r="CY18" s="28">
        <v>1.07</v>
      </c>
      <c r="CZ18" s="29">
        <v>14.03142308</v>
      </c>
      <c r="DA18" s="27">
        <v>-0.25705803776615366</v>
      </c>
      <c r="DB18" s="27">
        <v>1.72976924253802</v>
      </c>
      <c r="DC18" s="27">
        <v>266.87708664986224</v>
      </c>
      <c r="DD18" s="27">
        <v>2</v>
      </c>
      <c r="DE18" s="28">
        <v>1.18</v>
      </c>
      <c r="DF18" s="28">
        <v>92.402817999999996</v>
      </c>
      <c r="DG18" s="28">
        <v>4.5261574760180867</v>
      </c>
      <c r="DH18" s="28">
        <v>0.94533599999999995</v>
      </c>
      <c r="DI18" s="28">
        <v>1.070038</v>
      </c>
      <c r="DJ18" s="27">
        <v>1.7</v>
      </c>
      <c r="DK18" s="27">
        <v>1.5</v>
      </c>
      <c r="DL18" s="27">
        <v>8.4498661866614921E-3</v>
      </c>
      <c r="DM18" s="27">
        <v>0.84399999999999997</v>
      </c>
      <c r="DN18" s="28">
        <v>0.79300000000000004</v>
      </c>
      <c r="DO18" s="28">
        <v>-0.167628844337147</v>
      </c>
      <c r="DP18" s="28">
        <f t="shared" si="13"/>
        <v>0.14394144754676058</v>
      </c>
      <c r="DQ18" s="27">
        <v>0.11509999999999998</v>
      </c>
      <c r="DR18" s="27">
        <v>3.2347817198611614E-2</v>
      </c>
      <c r="DS18" s="27">
        <v>2.4490842135800685E-2</v>
      </c>
      <c r="DT18" s="27">
        <v>2.6867542601332471E-2</v>
      </c>
      <c r="DU18" s="30">
        <v>5.0767810000000004</v>
      </c>
      <c r="DV18">
        <v>-0.3</v>
      </c>
      <c r="DW18">
        <v>0.7</v>
      </c>
      <c r="DX18">
        <v>90.9</v>
      </c>
      <c r="DY18">
        <v>87.4</v>
      </c>
      <c r="DZ18">
        <v>1.6</v>
      </c>
      <c r="EA18">
        <v>1</v>
      </c>
      <c r="EB18">
        <v>2.1595819999999999</v>
      </c>
    </row>
    <row r="19" spans="1:132" ht="18">
      <c r="A19" s="14" t="s">
        <v>136</v>
      </c>
      <c r="B19" s="14">
        <v>5</v>
      </c>
      <c r="C19" s="14" t="s">
        <v>137</v>
      </c>
      <c r="D19" s="14" t="s">
        <v>138</v>
      </c>
      <c r="E19" s="14" t="s">
        <v>139</v>
      </c>
      <c r="F19" s="15">
        <v>555.17999999999995</v>
      </c>
      <c r="G19" s="15">
        <v>2.7444338125511067</v>
      </c>
      <c r="H19" s="15">
        <v>489.5</v>
      </c>
      <c r="I19" s="15">
        <v>73</v>
      </c>
      <c r="J19" s="16">
        <v>0</v>
      </c>
      <c r="K19" s="16">
        <v>1</v>
      </c>
      <c r="L19" s="17">
        <v>0.14051632498101746</v>
      </c>
      <c r="M19" s="18">
        <v>16</v>
      </c>
      <c r="N19" s="18">
        <v>17</v>
      </c>
      <c r="O19" s="18">
        <v>0.88823959094229366</v>
      </c>
      <c r="P19" s="18">
        <v>1</v>
      </c>
      <c r="Q19" s="18">
        <v>1</v>
      </c>
      <c r="R19" s="18">
        <v>16</v>
      </c>
      <c r="S19" s="18">
        <v>3</v>
      </c>
      <c r="T19" s="19">
        <v>3227.8</v>
      </c>
      <c r="U19" s="19">
        <v>3.5089066172559535</v>
      </c>
      <c r="V19" s="20">
        <v>2496</v>
      </c>
      <c r="W19" s="20">
        <v>3.3972445810103862</v>
      </c>
      <c r="X19" s="20">
        <v>0.44619234894529852</v>
      </c>
      <c r="Y19" s="20">
        <v>0.44274441689999999</v>
      </c>
      <c r="Z19" s="20">
        <f t="shared" si="3"/>
        <v>-0.35384690664790436</v>
      </c>
      <c r="AA19" s="20"/>
      <c r="AD19" s="21">
        <v>1.9</v>
      </c>
      <c r="AE19" s="21">
        <f t="shared" si="0"/>
        <v>4.8089091369273599E-4</v>
      </c>
      <c r="AF19" s="21">
        <f t="shared" si="1"/>
        <v>0.27875360095282892</v>
      </c>
      <c r="AG19" s="22">
        <v>9.784029359655784E-2</v>
      </c>
      <c r="AH19" s="22">
        <v>386.56700000000001</v>
      </c>
      <c r="AI19" s="22">
        <v>3.6170474229999998</v>
      </c>
      <c r="AJ19" s="23">
        <v>5594</v>
      </c>
      <c r="AK19" s="23">
        <f t="shared" si="10"/>
        <v>3.7477224620355085</v>
      </c>
      <c r="AL19" s="24">
        <v>0.90117304899999995</v>
      </c>
      <c r="AM19" s="22">
        <v>1794.58</v>
      </c>
      <c r="AN19" s="22">
        <f t="shared" si="4"/>
        <v>0.45420906099721586</v>
      </c>
      <c r="AO19" s="23">
        <v>0.17440761231299778</v>
      </c>
      <c r="AP19" s="23">
        <v>2.5624513109179535E-2</v>
      </c>
      <c r="AQ19" s="23">
        <v>0.40865562212213186</v>
      </c>
      <c r="AR19" s="23">
        <v>3951</v>
      </c>
      <c r="AS19" s="23">
        <v>3.5967070296814461</v>
      </c>
      <c r="AT19" s="23">
        <v>3.5747255835940734</v>
      </c>
      <c r="AU19" s="22">
        <v>0.32900000000000001</v>
      </c>
      <c r="AV19" s="22">
        <v>0.17687964740000001</v>
      </c>
      <c r="AW19" s="22">
        <v>7.8</v>
      </c>
      <c r="AX19" s="22">
        <v>7</v>
      </c>
      <c r="AY19" s="22">
        <v>1</v>
      </c>
      <c r="AZ19" s="24">
        <v>3581.7759999999998</v>
      </c>
      <c r="BA19" s="24">
        <f t="shared" si="5"/>
        <v>3.5540984221032326</v>
      </c>
      <c r="BB19" s="24">
        <v>2135.0859999999998</v>
      </c>
      <c r="BC19" s="24">
        <f t="shared" si="6"/>
        <v>3.329415372837965</v>
      </c>
      <c r="BD19" s="24">
        <v>1446.69</v>
      </c>
      <c r="BE19" s="23">
        <v>624.68899999999996</v>
      </c>
      <c r="BF19" s="23">
        <f t="shared" si="11"/>
        <v>156.61250000000001</v>
      </c>
      <c r="BG19" s="23">
        <v>1.0056539439549994</v>
      </c>
      <c r="BH19" s="23">
        <v>0.15810908630726397</v>
      </c>
      <c r="BI19" s="23">
        <v>8.2924387646432368E-2</v>
      </c>
      <c r="BJ19" s="23">
        <v>8.6683860738553359E-2</v>
      </c>
      <c r="BK19" s="23">
        <v>0.90666570830042492</v>
      </c>
      <c r="BL19" s="23">
        <v>311.464</v>
      </c>
      <c r="BM19" s="22">
        <v>492.28</v>
      </c>
      <c r="BN19" s="22">
        <f t="shared" si="12"/>
        <v>109.60649999999966</v>
      </c>
      <c r="BO19" s="22">
        <v>2.6922121919253503</v>
      </c>
      <c r="BP19" s="22">
        <v>0.13744019726526729</v>
      </c>
      <c r="BQ19" s="22">
        <v>7.1948601275273388E-2</v>
      </c>
      <c r="BR19" s="22">
        <v>8.8517041155513385E-2</v>
      </c>
      <c r="BS19" s="22">
        <v>-70.629000000000005</v>
      </c>
      <c r="BT19" s="22">
        <v>1.8489830573405577</v>
      </c>
      <c r="BU19" s="22">
        <v>1.7876233864844344E-2</v>
      </c>
      <c r="BV19" s="23">
        <v>728.25300000000004</v>
      </c>
      <c r="BW19" s="22">
        <v>708.428</v>
      </c>
      <c r="BX19" s="22">
        <v>18.7</v>
      </c>
      <c r="BY19" s="22">
        <v>1.271841606536499</v>
      </c>
      <c r="BZ19" s="25">
        <v>0.22703412073490808</v>
      </c>
      <c r="CA19" s="23">
        <v>4.6043257728450531</v>
      </c>
      <c r="CB19" s="23">
        <v>460.43257728450533</v>
      </c>
      <c r="CC19" s="23">
        <v>2.6631660439637668</v>
      </c>
      <c r="CD19" s="23">
        <v>2.5345829915053892</v>
      </c>
      <c r="CE19" s="23">
        <v>3.947932438714675</v>
      </c>
      <c r="CF19" s="23">
        <v>1.4002599090318388</v>
      </c>
      <c r="CG19" s="23">
        <f t="shared" si="7"/>
        <v>0.33665786869896891</v>
      </c>
      <c r="CH19" s="26">
        <v>11.56</v>
      </c>
      <c r="CI19" s="26">
        <v>12.07</v>
      </c>
      <c r="CJ19" s="26">
        <v>1.0629578340845103</v>
      </c>
      <c r="CK19" s="26">
        <v>1.0817072700973491</v>
      </c>
      <c r="CL19" s="26">
        <v>-4.2253521126760542E-2</v>
      </c>
      <c r="CM19" s="27">
        <v>13.296884615384608</v>
      </c>
      <c r="CN19" s="27">
        <v>3.681220260646025E-3</v>
      </c>
      <c r="CQ19" s="27">
        <v>67.989575289575299</v>
      </c>
      <c r="CR19" s="27">
        <v>-0.167971536975</v>
      </c>
      <c r="CS19" s="27">
        <v>0.84238461538461584</v>
      </c>
      <c r="CT19" s="27">
        <v>0.91873076923076902</v>
      </c>
      <c r="CU19" s="27">
        <v>-8.3099593921379125E-2</v>
      </c>
      <c r="CV19" s="27">
        <v>0.92230769230769172</v>
      </c>
      <c r="CW19" s="27">
        <v>1.9648758307920116</v>
      </c>
      <c r="CX19" s="28">
        <v>0.56000000000000005</v>
      </c>
      <c r="CY19" s="28">
        <v>0.94</v>
      </c>
      <c r="CZ19" s="29">
        <v>16.52657692</v>
      </c>
      <c r="DA19" s="27">
        <v>0.17782614249273998</v>
      </c>
      <c r="DB19" s="27">
        <v>1.322681365714484</v>
      </c>
      <c r="DC19" s="27">
        <v>1.72976924253802</v>
      </c>
      <c r="DD19" s="27">
        <v>2</v>
      </c>
      <c r="DE19" s="28">
        <v>0.7</v>
      </c>
      <c r="DF19" s="28">
        <v>94.399308000000005</v>
      </c>
      <c r="DG19" s="28">
        <v>4.5475337426161122</v>
      </c>
      <c r="DH19" s="28">
        <v>0.953623</v>
      </c>
      <c r="DI19" s="28">
        <v>1.0861069999999999</v>
      </c>
      <c r="DJ19" s="27">
        <v>1.6</v>
      </c>
      <c r="DK19" s="27">
        <v>1.8</v>
      </c>
      <c r="DL19" s="27">
        <v>7.6672365931182819E-3</v>
      </c>
      <c r="DM19" s="27">
        <v>0.75770000000000004</v>
      </c>
      <c r="DN19" s="28">
        <v>0.74250000000000005</v>
      </c>
      <c r="DO19" s="28">
        <v>-6.3682219419924316E-2</v>
      </c>
      <c r="DP19" s="28">
        <f t="shared" si="13"/>
        <v>-0.10225118483412314</v>
      </c>
      <c r="DQ19" s="27">
        <v>9.7799999999999998E-2</v>
      </c>
      <c r="DR19" s="27">
        <v>2.4490842135800685E-2</v>
      </c>
      <c r="DS19" s="27">
        <v>2.77430650961079E-2</v>
      </c>
      <c r="DT19" s="27">
        <v>3.2347817198611614E-2</v>
      </c>
      <c r="DU19" s="30">
        <v>4.6174650000000002</v>
      </c>
      <c r="DV19">
        <v>-0.5</v>
      </c>
      <c r="DW19">
        <v>-0.4</v>
      </c>
      <c r="DX19">
        <v>93.7</v>
      </c>
      <c r="DY19">
        <v>89.8</v>
      </c>
      <c r="DZ19">
        <v>1.6</v>
      </c>
      <c r="EA19">
        <v>1.7</v>
      </c>
      <c r="EB19">
        <v>2.2385109999999999</v>
      </c>
    </row>
    <row r="20" spans="1:132" ht="18">
      <c r="A20" s="14" t="s">
        <v>136</v>
      </c>
      <c r="B20" s="14">
        <v>6</v>
      </c>
      <c r="C20" s="14" t="s">
        <v>137</v>
      </c>
      <c r="D20" s="14" t="s">
        <v>138</v>
      </c>
      <c r="E20" s="14" t="s">
        <v>139</v>
      </c>
      <c r="F20" s="15">
        <v>373.88099999999997</v>
      </c>
      <c r="G20" s="15">
        <v>2.5727333956040224</v>
      </c>
      <c r="H20" s="15">
        <v>283.89999999999998</v>
      </c>
      <c r="I20" s="15">
        <v>90</v>
      </c>
      <c r="J20" s="16">
        <v>0</v>
      </c>
      <c r="K20" s="16">
        <v>1</v>
      </c>
      <c r="L20" s="17">
        <v>9.1913465675127523E-2</v>
      </c>
      <c r="M20" s="18">
        <v>16</v>
      </c>
      <c r="N20" s="18">
        <v>17</v>
      </c>
      <c r="O20" s="18">
        <v>0.88823959094229366</v>
      </c>
      <c r="P20" s="18">
        <v>1</v>
      </c>
      <c r="Q20" s="18">
        <v>1</v>
      </c>
      <c r="R20" s="18">
        <v>16</v>
      </c>
      <c r="S20" s="18">
        <v>3</v>
      </c>
      <c r="T20" s="19">
        <v>3458.1</v>
      </c>
      <c r="U20" s="19">
        <v>3.5388375478795595</v>
      </c>
      <c r="V20" s="20">
        <v>2984</v>
      </c>
      <c r="W20" s="20">
        <v>3.4747988188006311</v>
      </c>
      <c r="X20" s="20">
        <v>0.35921511977850007</v>
      </c>
      <c r="Y20" s="20">
        <v>0.33378623489999998</v>
      </c>
      <c r="Z20" s="20">
        <f t="shared" si="3"/>
        <v>-0.47653157727402057</v>
      </c>
      <c r="AA20" s="20"/>
      <c r="AD20" s="21">
        <v>0</v>
      </c>
      <c r="AE20" s="21">
        <f t="shared" si="0"/>
        <v>0</v>
      </c>
      <c r="AF20" s="21">
        <v>0</v>
      </c>
      <c r="AG20" s="22">
        <v>0.11947636900006146</v>
      </c>
      <c r="AH20" s="22">
        <v>486</v>
      </c>
      <c r="AI20" s="22">
        <v>4.4033996340000003</v>
      </c>
      <c r="AJ20" s="23">
        <v>8307</v>
      </c>
      <c r="AK20" s="23">
        <f t="shared" si="10"/>
        <v>3.9194442104652367</v>
      </c>
      <c r="AL20" s="24">
        <v>0.91770971999999995</v>
      </c>
      <c r="AM20" s="22">
        <v>2160.1350000000002</v>
      </c>
      <c r="AN20" s="22">
        <f t="shared" si="4"/>
        <v>0.53103927232499548</v>
      </c>
      <c r="AO20" s="23">
        <v>0.17806981345130349</v>
      </c>
      <c r="AP20" s="23">
        <v>1.831100569152852E-3</v>
      </c>
      <c r="AQ20" s="23">
        <v>-0.73728780237842906</v>
      </c>
      <c r="AR20" s="23">
        <v>4067.75</v>
      </c>
      <c r="AS20" s="23">
        <v>3.6093542537500132</v>
      </c>
      <c r="AT20" s="23">
        <v>3.5967070296814461</v>
      </c>
      <c r="AU20" s="22">
        <v>0.46400000000000002</v>
      </c>
      <c r="AV20" s="22">
        <v>0.31558536120000003</v>
      </c>
      <c r="AW20" s="22">
        <v>8.4</v>
      </c>
      <c r="AX20" s="22">
        <v>7.8</v>
      </c>
      <c r="AY20" s="22">
        <v>1</v>
      </c>
      <c r="AZ20" s="24">
        <v>3768.1849999999999</v>
      </c>
      <c r="BA20" s="24">
        <f t="shared" si="5"/>
        <v>3.5761322164421916</v>
      </c>
      <c r="BB20" s="24">
        <v>2218.5259999999998</v>
      </c>
      <c r="BC20" s="24">
        <f t="shared" si="6"/>
        <v>3.346064522793553</v>
      </c>
      <c r="BD20" s="24">
        <v>1549.6590000000001</v>
      </c>
      <c r="BE20" s="23">
        <v>671</v>
      </c>
      <c r="BF20" s="23">
        <f t="shared" si="11"/>
        <v>23.155500000000018</v>
      </c>
      <c r="BG20" s="23">
        <v>7.4134489321886626E-2</v>
      </c>
      <c r="BH20" s="23">
        <v>0.1649560567881507</v>
      </c>
      <c r="BI20" s="23">
        <v>0.15810908630726397</v>
      </c>
      <c r="BJ20" s="23">
        <v>8.6683860738553359E-2</v>
      </c>
      <c r="BK20" s="23">
        <v>4.3305357337784817E-2</v>
      </c>
      <c r="BL20" s="23">
        <v>624.68899999999996</v>
      </c>
      <c r="BM20" s="22">
        <v>701.01099999999997</v>
      </c>
      <c r="BN20" s="22">
        <f t="shared" si="12"/>
        <v>104.3655000000001</v>
      </c>
      <c r="BO20" s="22">
        <v>2.8457248328052027</v>
      </c>
      <c r="BP20" s="22">
        <v>0.18603412518228271</v>
      </c>
      <c r="BQ20" s="22">
        <v>2.429696395850766E-2</v>
      </c>
      <c r="BR20" s="22">
        <v>7.1948601275273388E-2</v>
      </c>
      <c r="BS20" s="22">
        <v>-362.15199999999999</v>
      </c>
      <c r="BT20" s="22">
        <v>2.558890887953317</v>
      </c>
      <c r="BU20" s="22">
        <v>8.9030053469362672E-2</v>
      </c>
      <c r="BV20" s="23">
        <v>1077.5150000000001</v>
      </c>
      <c r="BW20" s="22">
        <v>884.96900000000005</v>
      </c>
      <c r="BX20" s="22">
        <v>20.64</v>
      </c>
      <c r="BY20" s="22">
        <v>1.3147096929551738</v>
      </c>
      <c r="BZ20" s="25">
        <v>0.10374331550802146</v>
      </c>
      <c r="CA20" s="23">
        <v>3.947932438714675</v>
      </c>
      <c r="CB20" s="23">
        <v>394.7932438714675</v>
      </c>
      <c r="CC20" s="23">
        <v>2.5963697119447957</v>
      </c>
      <c r="CD20" s="23">
        <v>4.6043257728450531</v>
      </c>
      <c r="CE20" s="23">
        <v>15.998200940326045</v>
      </c>
      <c r="CF20" s="23">
        <v>1.4438356164383563</v>
      </c>
      <c r="CG20" s="23">
        <f t="shared" si="7"/>
        <v>0.36730319495887093</v>
      </c>
      <c r="CH20" s="26">
        <v>22.5</v>
      </c>
      <c r="CI20" s="26">
        <v>11.56</v>
      </c>
      <c r="CJ20" s="26">
        <v>1.3521825181113625</v>
      </c>
      <c r="CK20" s="26">
        <v>1.0629578340845103</v>
      </c>
      <c r="CL20" s="26">
        <v>0.94636678200692037</v>
      </c>
      <c r="CM20" s="27">
        <v>18.34360153256705</v>
      </c>
      <c r="CN20" s="27">
        <v>0.37954130333231201</v>
      </c>
      <c r="CQ20" s="27">
        <v>77.833846153846167</v>
      </c>
      <c r="CR20" s="27">
        <v>0.14479088628430173</v>
      </c>
      <c r="CS20" s="27">
        <v>0.72605363984674265</v>
      </c>
      <c r="CT20" s="27">
        <v>0.84238461538461584</v>
      </c>
      <c r="CU20" s="27">
        <v>-0.13809722235342442</v>
      </c>
      <c r="CV20" s="27">
        <v>0.78180076628352502</v>
      </c>
      <c r="CW20" s="27">
        <v>1.8930960917710087</v>
      </c>
      <c r="CX20" s="28">
        <v>0.88</v>
      </c>
      <c r="CY20" s="28">
        <v>0.56000000000000005</v>
      </c>
      <c r="CZ20" s="29">
        <v>19.614636019999999</v>
      </c>
      <c r="DA20" s="27">
        <v>0.18685412683753744</v>
      </c>
      <c r="DB20" s="27">
        <v>2.3607257116750975</v>
      </c>
      <c r="DC20" s="27">
        <v>1.322681365714484</v>
      </c>
      <c r="DD20" s="27">
        <v>2</v>
      </c>
      <c r="DE20" s="28">
        <v>0.01</v>
      </c>
      <c r="DF20" s="28">
        <v>96.168715000000006</v>
      </c>
      <c r="DG20" s="28">
        <v>4.5661040968798963</v>
      </c>
      <c r="DH20" s="28">
        <v>0.965723</v>
      </c>
      <c r="DI20" s="28">
        <v>1.1776580000000001</v>
      </c>
      <c r="DJ20" s="27">
        <v>2.4</v>
      </c>
      <c r="DK20" s="27">
        <v>1.8</v>
      </c>
      <c r="DL20" s="27">
        <v>1.679984422560547E-2</v>
      </c>
      <c r="DM20" s="27">
        <v>0.6855</v>
      </c>
      <c r="DN20" s="28">
        <v>0.84760000000000002</v>
      </c>
      <c r="DO20" s="28">
        <v>0.14154882154882151</v>
      </c>
      <c r="DP20" s="28">
        <f t="shared" si="13"/>
        <v>-9.5288372706876123E-2</v>
      </c>
      <c r="DQ20" s="27">
        <v>0.10279999999999989</v>
      </c>
      <c r="DR20" s="27">
        <v>2.77430650961079E-2</v>
      </c>
      <c r="DS20" s="27">
        <v>5.0662060808238797E-2</v>
      </c>
      <c r="DT20" s="27">
        <v>2.4490842135800685E-2</v>
      </c>
      <c r="DU20" s="30">
        <v>4.6191050000000002</v>
      </c>
      <c r="DV20">
        <v>-0.9</v>
      </c>
      <c r="DW20">
        <v>-0.7</v>
      </c>
      <c r="DX20">
        <v>96.2</v>
      </c>
      <c r="DY20">
        <v>92.4</v>
      </c>
      <c r="DZ20">
        <v>2.1</v>
      </c>
      <c r="EA20">
        <v>1.9</v>
      </c>
      <c r="EB20">
        <v>2.1588159999999998</v>
      </c>
    </row>
    <row r="21" spans="1:132" ht="18">
      <c r="A21" s="14" t="s">
        <v>136</v>
      </c>
      <c r="B21" s="14">
        <v>7</v>
      </c>
      <c r="C21" s="14" t="s">
        <v>137</v>
      </c>
      <c r="D21" s="14" t="s">
        <v>138</v>
      </c>
      <c r="E21" s="14" t="s">
        <v>139</v>
      </c>
      <c r="F21" s="15">
        <v>896.64200000000005</v>
      </c>
      <c r="G21" s="15">
        <v>2.9526190779839676</v>
      </c>
      <c r="H21" s="15">
        <v>896.6</v>
      </c>
      <c r="I21" s="15">
        <v>0</v>
      </c>
      <c r="J21" s="16">
        <v>0</v>
      </c>
      <c r="K21" s="16">
        <v>0</v>
      </c>
      <c r="L21" s="17">
        <v>0.21183688898339123</v>
      </c>
      <c r="M21" s="18">
        <v>16</v>
      </c>
      <c r="N21" s="18">
        <v>17</v>
      </c>
      <c r="O21" s="18">
        <v>0.88823959094229366</v>
      </c>
      <c r="P21" s="18">
        <v>1</v>
      </c>
      <c r="Q21" s="18">
        <v>1</v>
      </c>
      <c r="R21" s="18">
        <v>16</v>
      </c>
      <c r="S21" s="18">
        <v>3</v>
      </c>
      <c r="T21" s="19">
        <v>2673.6</v>
      </c>
      <c r="U21" s="19">
        <v>3.4270964325493161</v>
      </c>
      <c r="V21" s="20">
        <v>3072</v>
      </c>
      <c r="W21" s="20">
        <v>3.4874212113594742</v>
      </c>
      <c r="X21" s="20">
        <v>0.37195786414820198</v>
      </c>
      <c r="Y21" s="20">
        <v>0.27272522919999997</v>
      </c>
      <c r="Z21" s="20">
        <f t="shared" si="3"/>
        <v>-0.56427468459035413</v>
      </c>
      <c r="AA21" s="20"/>
      <c r="AD21" s="21">
        <v>0</v>
      </c>
      <c r="AE21" s="21">
        <f t="shared" si="0"/>
        <v>0</v>
      </c>
      <c r="AF21" s="21">
        <v>0</v>
      </c>
      <c r="AG21" s="22">
        <v>0.12193824272922722</v>
      </c>
      <c r="AH21" s="22">
        <v>516.12800000000004</v>
      </c>
      <c r="AI21" s="22">
        <v>3.1981827009999999</v>
      </c>
      <c r="AJ21" s="23">
        <v>8259</v>
      </c>
      <c r="AK21" s="23">
        <f t="shared" si="10"/>
        <v>3.9169274661129925</v>
      </c>
      <c r="AL21" s="24">
        <v>0.90517652900000001</v>
      </c>
      <c r="AM21" s="22">
        <f>1045.458+998.501</f>
        <v>2043.9590000000001</v>
      </c>
      <c r="AN21" s="22">
        <f t="shared" si="4"/>
        <v>0.48289720509367545</v>
      </c>
      <c r="AO21" s="23">
        <v>0.10914189021281265</v>
      </c>
      <c r="AP21" s="23">
        <v>3.4463961619245406E-2</v>
      </c>
      <c r="AQ21" s="23">
        <v>0.53736519796656401</v>
      </c>
      <c r="AR21" s="23">
        <v>4232.7</v>
      </c>
      <c r="AS21" s="23">
        <v>3.6266174881854045</v>
      </c>
      <c r="AT21" s="23">
        <v>3.6093542537500132</v>
      </c>
      <c r="AU21" s="22">
        <v>0.40799999999999997</v>
      </c>
      <c r="AV21" s="22">
        <v>0.29562630239999999</v>
      </c>
      <c r="AW21" s="22">
        <v>7</v>
      </c>
      <c r="AX21" s="22">
        <v>8.4</v>
      </c>
      <c r="AY21" s="22">
        <v>1</v>
      </c>
      <c r="AZ21" s="24">
        <v>2953.6779999999999</v>
      </c>
      <c r="BA21" s="24">
        <f t="shared" si="5"/>
        <v>3.4703631482387971</v>
      </c>
      <c r="BB21" s="24">
        <v>1938.164</v>
      </c>
      <c r="BC21" s="24">
        <f t="shared" si="6"/>
        <v>3.2873905226020446</v>
      </c>
      <c r="BD21" s="24">
        <v>1015.5139999999999</v>
      </c>
      <c r="BE21" s="23">
        <v>322.37</v>
      </c>
      <c r="BF21" s="23">
        <f t="shared" si="11"/>
        <v>174.31499999999994</v>
      </c>
      <c r="BG21" s="23">
        <v>-0.51956780923994039</v>
      </c>
      <c r="BH21" s="23">
        <v>7.6161787984029117E-2</v>
      </c>
      <c r="BI21" s="23">
        <v>0.1649560567881507</v>
      </c>
      <c r="BJ21" s="23">
        <v>8.6683860738553359E-2</v>
      </c>
      <c r="BK21" s="23">
        <v>-0.53829044251559699</v>
      </c>
      <c r="BL21" s="23">
        <v>671</v>
      </c>
      <c r="BM21" s="22">
        <v>280.74599999999998</v>
      </c>
      <c r="BN21" s="22">
        <f t="shared" si="12"/>
        <v>210.13249999999999</v>
      </c>
      <c r="BO21" s="22">
        <v>2.4483135772565481</v>
      </c>
      <c r="BP21" s="22">
        <v>9.5049629648187778E-2</v>
      </c>
      <c r="BQ21" s="22">
        <v>4.5492247767047453E-2</v>
      </c>
      <c r="BR21" s="22">
        <v>2.429696395850766E-2</v>
      </c>
      <c r="BS21" s="22">
        <v>-259.80500000000001</v>
      </c>
      <c r="BT21" s="22">
        <v>2.4146475049029603</v>
      </c>
      <c r="BU21" s="22">
        <v>6.1380442743402562E-2</v>
      </c>
      <c r="BV21" s="23">
        <v>444.04300000000001</v>
      </c>
      <c r="BW21" s="22">
        <v>893.25699999999995</v>
      </c>
      <c r="BX21" s="22">
        <v>13.49</v>
      </c>
      <c r="BY21" s="22">
        <v>1.1300119496719043</v>
      </c>
      <c r="BZ21" s="25">
        <v>-0.34641472868217055</v>
      </c>
      <c r="CA21" s="23">
        <v>15.998200940326045</v>
      </c>
      <c r="CB21" s="23">
        <v>1599.8200940326046</v>
      </c>
      <c r="CC21" s="23">
        <v>3.2040711473047567</v>
      </c>
      <c r="CD21" s="23">
        <v>3.947932438714675</v>
      </c>
      <c r="CE21" s="23">
        <v>5.8322610508718871</v>
      </c>
      <c r="CF21" s="23">
        <v>2.1811949069539667</v>
      </c>
      <c r="CG21" s="23">
        <f t="shared" si="7"/>
        <v>0.77987284909270205</v>
      </c>
      <c r="CH21" s="26">
        <v>40</v>
      </c>
      <c r="CI21" s="26">
        <v>22.5</v>
      </c>
      <c r="CJ21" s="26">
        <v>1.6020599913279623</v>
      </c>
      <c r="CK21" s="26">
        <v>1.3521825181113625</v>
      </c>
      <c r="CL21" s="26">
        <v>0.77777777777777779</v>
      </c>
      <c r="CM21" s="27">
        <v>34.430804597701169</v>
      </c>
      <c r="CN21" s="27">
        <v>0.87699261437690179</v>
      </c>
      <c r="CO21" s="27">
        <v>14.002720000000007</v>
      </c>
      <c r="CQ21" s="27">
        <v>141.16230769230771</v>
      </c>
      <c r="CR21" s="27">
        <v>0.81363654332700808</v>
      </c>
      <c r="CS21" s="27">
        <v>1.4151340996168575</v>
      </c>
      <c r="CT21" s="27">
        <v>0.72605363984674265</v>
      </c>
      <c r="CU21" s="27">
        <v>0.94907651715039654</v>
      </c>
      <c r="CV21" s="27">
        <v>1.549389312977099</v>
      </c>
      <c r="CW21" s="27">
        <v>2.1901605560639821</v>
      </c>
      <c r="CX21" s="28">
        <v>2.34</v>
      </c>
      <c r="CY21" s="28">
        <v>0.88</v>
      </c>
      <c r="CZ21" s="29">
        <v>33.709007630000002</v>
      </c>
      <c r="DA21" s="27">
        <v>0.71856401493398725</v>
      </c>
      <c r="DB21" s="27">
        <v>3.1430399491928545</v>
      </c>
      <c r="DC21" s="27">
        <v>2.3607257116750975</v>
      </c>
      <c r="DD21" s="27">
        <v>2</v>
      </c>
      <c r="DE21" s="28">
        <v>-0.4</v>
      </c>
      <c r="DF21" s="28">
        <v>98.399833000000001</v>
      </c>
      <c r="DG21" s="28">
        <v>4.5890391069022964</v>
      </c>
      <c r="DH21" s="28">
        <v>0.97651600000000005</v>
      </c>
      <c r="DI21" s="28">
        <v>1.111866</v>
      </c>
      <c r="DJ21" s="27">
        <v>1.9</v>
      </c>
      <c r="DK21" s="27">
        <v>2</v>
      </c>
      <c r="DL21" s="27">
        <v>4.1965997035105826E-2</v>
      </c>
      <c r="DM21" s="27">
        <v>0.71560000000000001</v>
      </c>
      <c r="DN21" s="28">
        <v>0.75849999999999995</v>
      </c>
      <c r="DO21" s="28">
        <v>-0.10512033978291654</v>
      </c>
      <c r="DP21" s="28">
        <f t="shared" si="13"/>
        <v>4.3909555069292512E-2</v>
      </c>
      <c r="DQ21" s="27">
        <v>0.17789999999999995</v>
      </c>
      <c r="DR21" s="27">
        <v>5.0662060808238797E-2</v>
      </c>
      <c r="DS21" s="27">
        <v>3.802148779895468E-2</v>
      </c>
      <c r="DT21" s="27">
        <v>2.77430650961079E-2</v>
      </c>
      <c r="DU21" s="30">
        <v>5.7984980000000004</v>
      </c>
      <c r="DV21">
        <v>-1</v>
      </c>
      <c r="DW21">
        <v>0.7</v>
      </c>
      <c r="DX21">
        <v>98</v>
      </c>
      <c r="DY21">
        <v>95</v>
      </c>
      <c r="DZ21">
        <v>1.6</v>
      </c>
      <c r="EA21">
        <v>1.7</v>
      </c>
      <c r="EB21">
        <v>2.0603549999999999</v>
      </c>
    </row>
    <row r="22" spans="1:132" ht="18">
      <c r="A22" s="14" t="s">
        <v>136</v>
      </c>
      <c r="B22" s="14">
        <v>8</v>
      </c>
      <c r="C22" s="14" t="s">
        <v>137</v>
      </c>
      <c r="D22" s="14" t="s">
        <v>138</v>
      </c>
      <c r="E22" s="14" t="s">
        <v>139</v>
      </c>
      <c r="F22" s="15">
        <v>527.81600000000003</v>
      </c>
      <c r="G22" s="15">
        <v>2.7224825511102324</v>
      </c>
      <c r="H22" s="15">
        <v>527.79999999999995</v>
      </c>
      <c r="I22" s="15">
        <v>0</v>
      </c>
      <c r="J22" s="16">
        <v>0</v>
      </c>
      <c r="K22" s="16">
        <v>0</v>
      </c>
      <c r="L22" s="17">
        <v>0.12828099442706703</v>
      </c>
      <c r="M22" s="18">
        <v>16</v>
      </c>
      <c r="N22" s="18">
        <v>17</v>
      </c>
      <c r="O22" s="18">
        <v>0.88823959094229366</v>
      </c>
      <c r="P22" s="18">
        <v>1</v>
      </c>
      <c r="Q22" s="18">
        <v>1</v>
      </c>
      <c r="R22" s="18">
        <v>16</v>
      </c>
      <c r="S22" s="18">
        <v>3</v>
      </c>
      <c r="T22" s="19">
        <v>1527.4</v>
      </c>
      <c r="U22" s="19">
        <v>3.18395278626658</v>
      </c>
      <c r="V22" s="20">
        <v>2858</v>
      </c>
      <c r="W22" s="20">
        <v>3.4560622244549513</v>
      </c>
      <c r="X22" s="20">
        <v>0.37189329863370202</v>
      </c>
      <c r="Y22" s="20">
        <v>0.27810901519999998</v>
      </c>
      <c r="Z22" s="20">
        <f t="shared" si="3"/>
        <v>-0.55578493278936791</v>
      </c>
      <c r="AA22" s="20"/>
      <c r="AB22" s="20"/>
      <c r="AD22" s="21">
        <v>0</v>
      </c>
      <c r="AE22" s="21">
        <f t="shared" si="0"/>
        <v>0</v>
      </c>
      <c r="AF22" s="21">
        <v>0</v>
      </c>
      <c r="AG22" s="22">
        <v>0.11342729303225399</v>
      </c>
      <c r="AH22" s="22">
        <v>466.7</v>
      </c>
      <c r="AI22" s="22">
        <v>2.438064625</v>
      </c>
      <c r="AJ22" s="23">
        <v>7685</v>
      </c>
      <c r="AK22" s="23">
        <f t="shared" si="10"/>
        <v>3.885643871835764</v>
      </c>
      <c r="AL22" s="24">
        <v>0.95697976799999995</v>
      </c>
      <c r="AM22" s="22">
        <f>1025.988+1037.735</f>
        <v>2063.723</v>
      </c>
      <c r="AN22" s="22">
        <f t="shared" si="4"/>
        <v>0.50156955958517746</v>
      </c>
      <c r="AO22" s="23">
        <v>-9.4560803677549071E-2</v>
      </c>
      <c r="AP22" s="23">
        <v>0.10185134694518086</v>
      </c>
      <c r="AQ22" s="23">
        <v>1.0079667767528884</v>
      </c>
      <c r="AR22" s="23">
        <v>4114.53</v>
      </c>
      <c r="AS22" s="23">
        <v>3.6143202332143383</v>
      </c>
      <c r="AT22" s="23">
        <v>3.6266174881854045</v>
      </c>
      <c r="AU22" s="22">
        <v>0.44400000000000001</v>
      </c>
      <c r="AV22" s="22">
        <v>0.32333710580000002</v>
      </c>
      <c r="AW22" s="22">
        <v>5</v>
      </c>
      <c r="AX22" s="22">
        <v>7</v>
      </c>
      <c r="AY22" s="22">
        <v>1</v>
      </c>
      <c r="AZ22" s="24">
        <v>1596.0630000000001</v>
      </c>
      <c r="BA22" s="24">
        <f t="shared" si="5"/>
        <v>3.2030500298795999</v>
      </c>
      <c r="BB22" s="24">
        <v>1137.671</v>
      </c>
      <c r="BC22" s="24">
        <f t="shared" si="6"/>
        <v>3.0560166877686195</v>
      </c>
      <c r="BD22" s="24">
        <v>458.39200000000005</v>
      </c>
      <c r="BE22" s="23">
        <v>-150.92500000000001</v>
      </c>
      <c r="BF22" s="23">
        <f t="shared" si="11"/>
        <v>236.64750000000001</v>
      </c>
      <c r="BG22" s="23">
        <v>-1.4681732171107733</v>
      </c>
      <c r="BH22" s="23">
        <v>-3.6680981788928507E-2</v>
      </c>
      <c r="BI22" s="23">
        <v>7.6161787984029117E-2</v>
      </c>
      <c r="BJ22" s="23">
        <v>8.6683860738553359E-2</v>
      </c>
      <c r="BK22" s="23">
        <v>-1.4816192313738799</v>
      </c>
      <c r="BL22" s="23">
        <v>322.37</v>
      </c>
      <c r="BM22" s="22">
        <v>97.763999999999996</v>
      </c>
      <c r="BN22" s="22">
        <f t="shared" si="12"/>
        <v>91.491</v>
      </c>
      <c r="BO22" s="22">
        <v>1.9901789623582675</v>
      </c>
      <c r="BP22" s="22">
        <v>6.1253221207433532E-2</v>
      </c>
      <c r="BQ22" s="22">
        <v>1.6898204220377109E-2</v>
      </c>
      <c r="BR22" s="22">
        <v>4.5492247767047453E-2</v>
      </c>
      <c r="BS22" s="22">
        <v>-98.081999999999994</v>
      </c>
      <c r="BT22" s="22">
        <v>1.9915893130074149</v>
      </c>
      <c r="BU22" s="22">
        <v>2.3837959621147493E-2</v>
      </c>
      <c r="BV22" s="23">
        <v>832.52200000000005</v>
      </c>
      <c r="BW22" s="22">
        <v>911.18899999999996</v>
      </c>
      <c r="BX22" s="22">
        <v>25.67</v>
      </c>
      <c r="BY22" s="22">
        <v>1.4094258686714434</v>
      </c>
      <c r="BZ22" s="25">
        <v>0.90289103039288376</v>
      </c>
      <c r="CA22" s="23">
        <v>5.8322610508718871</v>
      </c>
      <c r="CB22" s="23">
        <v>583.22610508718867</v>
      </c>
      <c r="CC22" s="23">
        <v>2.7658369546816335</v>
      </c>
      <c r="CD22" s="23">
        <v>15.998200940326045</v>
      </c>
      <c r="CE22" s="23">
        <v>7.1555148383187932</v>
      </c>
      <c r="CF22" s="23">
        <v>2.1798623063683307</v>
      </c>
      <c r="CG22" s="23">
        <f t="shared" si="7"/>
        <v>0.7792617125898188</v>
      </c>
      <c r="CH22" s="26">
        <v>21.68</v>
      </c>
      <c r="CI22" s="26">
        <v>40</v>
      </c>
      <c r="CJ22" s="26">
        <v>1.3360592778663494</v>
      </c>
      <c r="CK22" s="26">
        <v>1.6020599913279623</v>
      </c>
      <c r="CL22" s="26">
        <v>-0.45800000000000002</v>
      </c>
      <c r="CM22" s="27">
        <v>32.806781609195411</v>
      </c>
      <c r="CN22" s="27">
        <v>-4.7167732717294325E-2</v>
      </c>
      <c r="CO22" s="27">
        <v>14.687391304347829</v>
      </c>
      <c r="CP22" s="27">
        <v>4.8895593452402179E-2</v>
      </c>
      <c r="CQ22" s="27">
        <v>128.33115384615388</v>
      </c>
      <c r="CR22" s="27">
        <v>-9.0896458522922177E-2</v>
      </c>
      <c r="CS22" s="27">
        <v>1.3546743295019157</v>
      </c>
      <c r="CT22" s="27">
        <v>1.4151340996168575</v>
      </c>
      <c r="CU22" s="27">
        <v>-4.272370380397951E-2</v>
      </c>
      <c r="CV22" s="27">
        <v>1.5608045977011498</v>
      </c>
      <c r="CW22" s="27">
        <v>2.1933485357004661</v>
      </c>
      <c r="CX22" s="28">
        <v>1.03</v>
      </c>
      <c r="CY22" s="28">
        <v>2.34</v>
      </c>
      <c r="CZ22" s="29">
        <v>33.580881230000003</v>
      </c>
      <c r="DA22" s="27">
        <v>-3.8009543741646867E-3</v>
      </c>
      <c r="DB22" s="27">
        <v>1.4102002336892525</v>
      </c>
      <c r="DC22" s="27">
        <v>3.1430399491928545</v>
      </c>
      <c r="DD22" s="27">
        <v>2</v>
      </c>
      <c r="DE22" s="28">
        <v>2.4700000000000002</v>
      </c>
      <c r="DF22" s="28">
        <v>98.851962</v>
      </c>
      <c r="DG22" s="28">
        <v>4.5936233976745839</v>
      </c>
      <c r="DH22" s="28">
        <v>0.989452</v>
      </c>
      <c r="DI22" s="28">
        <v>1.2074450000000001</v>
      </c>
      <c r="DJ22" s="27">
        <v>3.2</v>
      </c>
      <c r="DK22" s="27">
        <v>2.6</v>
      </c>
      <c r="DL22" s="27">
        <v>2.4369778879479467E-2</v>
      </c>
      <c r="DM22" s="27">
        <v>0.69779999999999998</v>
      </c>
      <c r="DN22" s="28">
        <v>0.68400000000000005</v>
      </c>
      <c r="DO22" s="28">
        <v>-9.8220171390902972E-2</v>
      </c>
      <c r="DP22" s="28">
        <f t="shared" si="13"/>
        <v>-2.487423141419793E-2</v>
      </c>
      <c r="DQ22" s="27">
        <v>0.13560000000000005</v>
      </c>
      <c r="DR22" s="27">
        <v>3.802148779895468E-2</v>
      </c>
      <c r="DS22" s="27">
        <v>3.4239891893164551E-2</v>
      </c>
      <c r="DT22" s="27">
        <v>5.0662060808238797E-2</v>
      </c>
      <c r="DU22" s="30">
        <v>9.2708490000000001</v>
      </c>
      <c r="DV22">
        <v>2.2000000000000002</v>
      </c>
      <c r="DW22">
        <v>2.6</v>
      </c>
      <c r="DX22">
        <v>98.8</v>
      </c>
      <c r="DY22">
        <v>96.9</v>
      </c>
      <c r="DZ22">
        <v>1.3</v>
      </c>
      <c r="EA22">
        <v>2.5</v>
      </c>
      <c r="EB22">
        <v>1.1868369999999999</v>
      </c>
    </row>
    <row r="23" spans="1:132" ht="18">
      <c r="A23" s="14" t="s">
        <v>136</v>
      </c>
      <c r="B23" s="14">
        <v>9</v>
      </c>
      <c r="C23" s="14" t="s">
        <v>137</v>
      </c>
      <c r="D23" s="14" t="s">
        <v>138</v>
      </c>
      <c r="E23" s="14" t="s">
        <v>139</v>
      </c>
      <c r="F23" s="15">
        <v>420.4</v>
      </c>
      <c r="G23" s="15">
        <v>2.6236627073562047</v>
      </c>
      <c r="H23" s="15">
        <v>420</v>
      </c>
      <c r="I23" s="15">
        <v>0</v>
      </c>
      <c r="J23" s="16">
        <v>0</v>
      </c>
      <c r="K23" s="16">
        <v>0</v>
      </c>
      <c r="L23" s="17">
        <v>6.5139584491882577E-2</v>
      </c>
      <c r="M23" s="18">
        <v>16</v>
      </c>
      <c r="N23" s="18">
        <v>17</v>
      </c>
      <c r="O23" s="18">
        <v>0.88823959094229366</v>
      </c>
      <c r="P23" s="18">
        <v>1</v>
      </c>
      <c r="Q23" s="18">
        <v>1</v>
      </c>
      <c r="R23" s="18">
        <v>16</v>
      </c>
      <c r="S23" s="18">
        <v>3</v>
      </c>
      <c r="T23" s="19">
        <v>4304.3</v>
      </c>
      <c r="U23" s="19">
        <v>3.633902533058905</v>
      </c>
      <c r="V23" s="20">
        <v>3164</v>
      </c>
      <c r="W23" s="20">
        <v>3.5002364748256389</v>
      </c>
      <c r="X23" s="20">
        <v>0.34223904813412653</v>
      </c>
      <c r="Y23" s="20">
        <v>0.43869200180000001</v>
      </c>
      <c r="Z23" s="20">
        <f t="shared" si="3"/>
        <v>-0.3578402835476191</v>
      </c>
      <c r="AA23" s="20"/>
      <c r="AB23" s="20"/>
      <c r="AD23" s="21">
        <v>0</v>
      </c>
      <c r="AE23" s="21">
        <f t="shared" si="0"/>
        <v>0</v>
      </c>
      <c r="AF23" s="21">
        <v>0</v>
      </c>
      <c r="AG23" s="22">
        <v>8.1099092585754859E-2</v>
      </c>
      <c r="AH23" s="22">
        <v>523.4</v>
      </c>
      <c r="AI23" s="22">
        <v>2.7461056579999998</v>
      </c>
      <c r="AJ23" s="23">
        <v>9245</v>
      </c>
      <c r="AK23" s="23">
        <f t="shared" si="10"/>
        <v>3.965906915495192</v>
      </c>
      <c r="AL23" s="24">
        <v>0.95482679699999995</v>
      </c>
      <c r="AM23" s="22">
        <f>1275.621+2155.75</f>
        <v>3431.3710000000001</v>
      </c>
      <c r="AN23" s="22">
        <f t="shared" si="4"/>
        <v>0.53167954609299628</v>
      </c>
      <c r="AO23" s="23">
        <v>0.22667126300317353</v>
      </c>
      <c r="AP23" s="23">
        <v>0.16061603334036131</v>
      </c>
      <c r="AQ23" s="23">
        <v>1.2057888961337389</v>
      </c>
      <c r="AR23" s="23">
        <v>6453.8329999999996</v>
      </c>
      <c r="AS23" s="23">
        <v>3.8098177233677264</v>
      </c>
      <c r="AT23" s="23">
        <v>3.6143202332143383</v>
      </c>
      <c r="AU23" s="22">
        <v>0.41699999999999998</v>
      </c>
      <c r="AV23" s="22">
        <v>0.2344548914</v>
      </c>
      <c r="AW23" s="22">
        <v>8.3000000000000007</v>
      </c>
      <c r="AX23" s="22">
        <v>5</v>
      </c>
      <c r="AY23" s="22">
        <v>1</v>
      </c>
      <c r="AZ23" s="24">
        <v>4507.9380000000001</v>
      </c>
      <c r="BA23" s="24">
        <f t="shared" si="5"/>
        <v>3.6539779343387888</v>
      </c>
      <c r="BB23" s="24">
        <v>2552.768</v>
      </c>
      <c r="BC23" s="24">
        <f t="shared" si="6"/>
        <v>3.4070113471590808</v>
      </c>
      <c r="BD23" s="24">
        <v>1955.17</v>
      </c>
      <c r="BE23" s="23">
        <v>1021.82</v>
      </c>
      <c r="BF23" s="23">
        <f t="shared" si="11"/>
        <v>586.37250000000006</v>
      </c>
      <c r="BG23" s="23">
        <v>-7.7703826403842973</v>
      </c>
      <c r="BH23" s="23">
        <v>0.15832761709204438</v>
      </c>
      <c r="BI23" s="23">
        <v>-3.6680981788928507E-2</v>
      </c>
      <c r="BJ23" s="23">
        <v>8.6683860738553359E-2</v>
      </c>
      <c r="BK23" s="23">
        <v>-5.3163407676245109</v>
      </c>
      <c r="BL23" s="23">
        <v>-150.92500000000001</v>
      </c>
      <c r="BM23" s="22">
        <v>940.04700000000003</v>
      </c>
      <c r="BN23" s="22">
        <f t="shared" si="12"/>
        <v>421.14150000000006</v>
      </c>
      <c r="BO23" s="22">
        <v>2.9731495677809439</v>
      </c>
      <c r="BP23" s="22">
        <v>0.20853148379591735</v>
      </c>
      <c r="BQ23" s="22">
        <v>7.3639131294241877E-2</v>
      </c>
      <c r="BR23" s="22">
        <v>1.6898204220377109E-2</v>
      </c>
      <c r="BS23" s="22">
        <v>-124.90300000000001</v>
      </c>
      <c r="BT23" s="22">
        <v>2.0965728696615562</v>
      </c>
      <c r="BU23" s="22">
        <v>1.9353305237368244E-2</v>
      </c>
      <c r="BV23" s="23">
        <v>802.11699999999996</v>
      </c>
      <c r="BW23" s="22">
        <v>1261.1279999999999</v>
      </c>
      <c r="BX23" s="22">
        <v>29.11</v>
      </c>
      <c r="BY23" s="22">
        <v>1.4640422054388107</v>
      </c>
      <c r="BZ23" s="25">
        <v>0.13400857031554333</v>
      </c>
      <c r="CA23" s="23">
        <v>7.1555148383187932</v>
      </c>
      <c r="CB23" s="23">
        <v>715.5514838318793</v>
      </c>
      <c r="CC23" s="23">
        <v>2.8546408866488413</v>
      </c>
      <c r="CD23" s="23">
        <v>5.8322610508718871</v>
      </c>
      <c r="CE23" s="23">
        <v>5.4867350811381188</v>
      </c>
      <c r="CF23" s="23">
        <v>1.5258145363408522</v>
      </c>
      <c r="CG23" s="23">
        <f t="shared" si="7"/>
        <v>0.42252838965761264</v>
      </c>
      <c r="CH23" s="26">
        <v>17.75</v>
      </c>
      <c r="CI23" s="26">
        <v>21.68</v>
      </c>
      <c r="CJ23" s="26">
        <v>1.249198357391113</v>
      </c>
      <c r="CK23" s="26">
        <v>1.3360592778663494</v>
      </c>
      <c r="CL23" s="26">
        <v>-0.18127306273062729</v>
      </c>
      <c r="CM23" s="27">
        <v>23.674061302682002</v>
      </c>
      <c r="CN23" s="27">
        <v>-0.27837903806917774</v>
      </c>
      <c r="CO23" s="27">
        <v>13.172845849802364</v>
      </c>
      <c r="CP23" s="27">
        <v>-0.10311875153058132</v>
      </c>
      <c r="CQ23" s="27">
        <v>93.814615384615436</v>
      </c>
      <c r="CR23" s="27">
        <v>-0.26896460779054171</v>
      </c>
      <c r="CS23" s="27">
        <v>1.0575095785440605</v>
      </c>
      <c r="CT23" s="27">
        <v>1.3546743295019157</v>
      </c>
      <c r="CU23" s="27">
        <v>-0.21936250247475808</v>
      </c>
      <c r="CV23" s="27">
        <v>1.2699233716475098</v>
      </c>
      <c r="CW23" s="27">
        <v>2.1037775160152683</v>
      </c>
      <c r="CX23" s="28">
        <v>0.92</v>
      </c>
      <c r="CY23" s="28">
        <v>1.03</v>
      </c>
      <c r="CZ23" s="29">
        <v>26.404674329999999</v>
      </c>
      <c r="DA23" s="27">
        <v>-0.21369918349816944</v>
      </c>
      <c r="DB23" s="27">
        <v>3.3676575479931978</v>
      </c>
      <c r="DC23" s="27">
        <v>1.4102002336892525</v>
      </c>
      <c r="DD23" s="27">
        <v>2</v>
      </c>
      <c r="DE23" s="28">
        <v>2.1800000000000002</v>
      </c>
      <c r="DF23" s="28">
        <v>100</v>
      </c>
      <c r="DG23" s="28">
        <v>4.6051701859880918</v>
      </c>
      <c r="DH23" s="28">
        <v>1</v>
      </c>
      <c r="DI23" s="28">
        <v>1.128927</v>
      </c>
      <c r="DJ23" s="27">
        <v>1.8</v>
      </c>
      <c r="DK23" s="27">
        <v>2.5</v>
      </c>
      <c r="DL23" s="27">
        <v>2.4833477735949187E-2</v>
      </c>
      <c r="DM23" s="27">
        <v>0.74709999999999999</v>
      </c>
      <c r="DN23" s="28">
        <v>0.71719999999999995</v>
      </c>
      <c r="DO23" s="28">
        <v>4.8538011695906276E-2</v>
      </c>
      <c r="DP23" s="28">
        <f t="shared" si="13"/>
        <v>7.0650616222413323E-2</v>
      </c>
      <c r="DQ23" s="27">
        <v>0.14990000000000003</v>
      </c>
      <c r="DR23" s="27">
        <v>3.4239891893164551E-2</v>
      </c>
      <c r="DS23" s="27">
        <v>2.4180879115385762E-2</v>
      </c>
      <c r="DT23" s="27">
        <v>3.802148779895468E-2</v>
      </c>
      <c r="DU23" s="30">
        <v>9.6228090000000002</v>
      </c>
      <c r="DV23">
        <v>2.7</v>
      </c>
      <c r="DW23">
        <v>2.9</v>
      </c>
      <c r="DX23">
        <v>100</v>
      </c>
      <c r="DY23">
        <v>100</v>
      </c>
      <c r="DZ23">
        <v>0.2</v>
      </c>
      <c r="EA23">
        <v>2</v>
      </c>
      <c r="EB23">
        <v>1.2855829999999999</v>
      </c>
    </row>
    <row r="24" spans="1:132" ht="18">
      <c r="A24" s="14" t="s">
        <v>136</v>
      </c>
      <c r="B24" s="14">
        <v>10</v>
      </c>
      <c r="C24" s="14" t="s">
        <v>137</v>
      </c>
      <c r="D24" s="14" t="s">
        <v>138</v>
      </c>
      <c r="E24" s="14" t="s">
        <v>139</v>
      </c>
      <c r="F24" s="15">
        <v>389.57900000000001</v>
      </c>
      <c r="G24" s="15">
        <v>2.5905955384788459</v>
      </c>
      <c r="H24" s="15">
        <v>389.5</v>
      </c>
      <c r="I24" s="15">
        <v>0</v>
      </c>
      <c r="J24" s="16">
        <v>0</v>
      </c>
      <c r="K24" s="16">
        <v>0</v>
      </c>
      <c r="L24" s="17">
        <v>5.3655003419726767E-2</v>
      </c>
      <c r="M24" s="18">
        <v>16</v>
      </c>
      <c r="N24" s="18">
        <v>17</v>
      </c>
      <c r="O24" s="18">
        <v>0.88823959094229366</v>
      </c>
      <c r="P24" s="18">
        <v>1</v>
      </c>
      <c r="Q24" s="18">
        <v>1</v>
      </c>
      <c r="R24" s="18">
        <v>16</v>
      </c>
      <c r="S24" s="18">
        <v>3</v>
      </c>
      <c r="T24" s="19">
        <v>5145.8999999999996</v>
      </c>
      <c r="U24" s="19">
        <v>3.711461342334847</v>
      </c>
      <c r="V24" s="20">
        <v>3367</v>
      </c>
      <c r="W24" s="20">
        <v>3.5272431163880884</v>
      </c>
      <c r="X24" s="20">
        <v>0.34044489383215371</v>
      </c>
      <c r="Y24" s="20">
        <v>0.26720908809999999</v>
      </c>
      <c r="Z24" s="20">
        <f t="shared" si="3"/>
        <v>-0.5731487750716393</v>
      </c>
      <c r="AA24" s="20"/>
      <c r="AB24" s="20"/>
      <c r="AD24" s="21">
        <v>0</v>
      </c>
      <c r="AE24" s="21">
        <f t="shared" si="0"/>
        <v>0</v>
      </c>
      <c r="AF24" s="21">
        <v>0</v>
      </c>
      <c r="AG24" s="22">
        <v>8.1258106873416669E-2</v>
      </c>
      <c r="AH24" s="22">
        <v>590</v>
      </c>
      <c r="AI24" s="22">
        <v>3.2518871109999998</v>
      </c>
      <c r="AJ24" s="23">
        <v>9890</v>
      </c>
      <c r="AK24" s="23">
        <f t="shared" si="10"/>
        <v>3.9951962915971793</v>
      </c>
      <c r="AL24" s="24">
        <v>0.91061194999999995</v>
      </c>
      <c r="AM24" s="22">
        <v>3816.6610000000001</v>
      </c>
      <c r="AN24" s="22">
        <f t="shared" si="4"/>
        <v>0.52565194480949384</v>
      </c>
      <c r="AO24" s="23">
        <v>0.25959138458707121</v>
      </c>
      <c r="AP24" s="23">
        <v>1.6460060791948838E-2</v>
      </c>
      <c r="AQ24" s="23">
        <v>0.21643143485918967</v>
      </c>
      <c r="AR24" s="23">
        <v>7260.8140000000003</v>
      </c>
      <c r="AS24" s="23">
        <v>3.8609853115942321</v>
      </c>
      <c r="AT24" s="23">
        <v>3.8098177233677264</v>
      </c>
      <c r="AU24" s="22">
        <v>0.34300000000000003</v>
      </c>
      <c r="AV24" s="22">
        <v>0.21305115860000001</v>
      </c>
      <c r="AW24" s="22">
        <v>11.2</v>
      </c>
      <c r="AX24" s="22">
        <v>8.3000000000000007</v>
      </c>
      <c r="AY24" s="22">
        <v>1</v>
      </c>
      <c r="AZ24" s="24">
        <v>5651.0349999999999</v>
      </c>
      <c r="BA24" s="24">
        <f t="shared" si="5"/>
        <v>3.752127997133289</v>
      </c>
      <c r="BB24" s="24">
        <v>3201.645</v>
      </c>
      <c r="BC24" s="24">
        <f t="shared" si="6"/>
        <v>3.5053731754632826</v>
      </c>
      <c r="BD24" s="24">
        <v>2449.39</v>
      </c>
      <c r="BE24" s="23">
        <v>1466.96</v>
      </c>
      <c r="BF24" s="23">
        <f t="shared" si="11"/>
        <v>222.5699999999994</v>
      </c>
      <c r="BG24" s="23">
        <v>0.43563445616644808</v>
      </c>
      <c r="BH24" s="23">
        <v>0.20203795332038529</v>
      </c>
      <c r="BI24" s="23">
        <v>0.15832761709204438</v>
      </c>
      <c r="BJ24" s="23">
        <v>8.6683860738553359E-2</v>
      </c>
      <c r="BK24" s="23">
        <v>0.27607524846994785</v>
      </c>
      <c r="BL24" s="23">
        <v>1021.82</v>
      </c>
      <c r="BM24" s="22">
        <v>2070.44</v>
      </c>
      <c r="BN24" s="22">
        <f t="shared" si="12"/>
        <v>565.19650000000013</v>
      </c>
      <c r="BO24" s="22">
        <v>3.3160626494500955</v>
      </c>
      <c r="BP24" s="22">
        <v>0.3663824414465669</v>
      </c>
      <c r="BQ24" s="22">
        <v>7.8925478825324941E-2</v>
      </c>
      <c r="BR24" s="22">
        <v>7.3639131294241877E-2</v>
      </c>
      <c r="BS24" s="22">
        <v>-300.89800000000002</v>
      </c>
      <c r="BT24" s="22">
        <v>2.4784193010938509</v>
      </c>
      <c r="BU24" s="22">
        <v>4.1441359054232761E-2</v>
      </c>
      <c r="BV24" s="23">
        <v>1292.4590000000001</v>
      </c>
      <c r="BW24" s="22">
        <v>1180.6369999999999</v>
      </c>
      <c r="BX24" s="22">
        <v>32.15</v>
      </c>
      <c r="BY24" s="22">
        <v>1.5071809772602409</v>
      </c>
      <c r="BZ24" s="25">
        <v>0.10443146684987974</v>
      </c>
      <c r="CA24" s="23">
        <v>5.4867350811381188</v>
      </c>
      <c r="CB24" s="23">
        <v>548.67350811381186</v>
      </c>
      <c r="CC24" s="23">
        <v>2.7393139914376685</v>
      </c>
      <c r="CD24" s="23">
        <v>7.1555148383187932</v>
      </c>
      <c r="CE24" s="23">
        <v>4.4032796875923887</v>
      </c>
      <c r="CF24" s="23">
        <v>1.5523069894929189</v>
      </c>
      <c r="CG24" s="23">
        <f t="shared" si="7"/>
        <v>0.43974220470901426</v>
      </c>
      <c r="CH24" s="26">
        <v>23.4</v>
      </c>
      <c r="CI24" s="26">
        <v>17.75</v>
      </c>
      <c r="CJ24" s="26">
        <v>1.3692158574101427</v>
      </c>
      <c r="CK24" s="26">
        <v>1.249198357391113</v>
      </c>
      <c r="CL24" s="26">
        <v>0.31830985915492949</v>
      </c>
      <c r="CM24" s="27">
        <v>25.275999999999993</v>
      </c>
      <c r="CN24" s="27">
        <v>6.7666408261623831E-2</v>
      </c>
      <c r="CO24" s="27">
        <v>14.393934426229498</v>
      </c>
      <c r="CP24" s="27">
        <v>9.2697401180433139E-2</v>
      </c>
      <c r="CQ24" s="27">
        <v>94.493822393822356</v>
      </c>
      <c r="CR24" s="27">
        <v>7.2398848134946573E-3</v>
      </c>
      <c r="CS24" s="27">
        <v>1.0720384615384604</v>
      </c>
      <c r="CT24" s="27">
        <v>1.0575095785440605</v>
      </c>
      <c r="CU24" s="27">
        <v>1.37387720065881E-2</v>
      </c>
      <c r="CV24" s="27">
        <v>1.268846153846154</v>
      </c>
      <c r="CW24" s="27">
        <v>2.1034089675745258</v>
      </c>
      <c r="CX24" s="28">
        <v>0.92</v>
      </c>
      <c r="CY24" s="28">
        <v>0.92</v>
      </c>
      <c r="CZ24" s="29">
        <v>29.99596154</v>
      </c>
      <c r="DA24" s="27">
        <v>0.13600952487112158</v>
      </c>
      <c r="DB24" s="27">
        <v>1.9709466682529033</v>
      </c>
      <c r="DC24" s="27">
        <v>3.3676575479931978</v>
      </c>
      <c r="DD24" s="27">
        <v>2</v>
      </c>
      <c r="DE24" s="28">
        <v>1.6</v>
      </c>
      <c r="DF24" s="28">
        <v>100.141896</v>
      </c>
      <c r="DG24" s="28">
        <v>4.6065881402156723</v>
      </c>
      <c r="DH24" s="28">
        <v>1.016607</v>
      </c>
      <c r="DI24" s="28">
        <v>1.098956</v>
      </c>
      <c r="DJ24" s="27">
        <v>2.8</v>
      </c>
      <c r="DK24" s="27">
        <v>2.7</v>
      </c>
      <c r="DL24" s="27">
        <v>1.6688062333233E-2</v>
      </c>
      <c r="DM24" s="27">
        <v>0.77139999999999997</v>
      </c>
      <c r="DN24" s="28">
        <v>0.69699999999999995</v>
      </c>
      <c r="DO24" s="28">
        <v>-2.8165086447295033E-2</v>
      </c>
      <c r="DP24" s="28">
        <f>(DM24-DM23)/DM23</f>
        <v>3.2525766296345855E-2</v>
      </c>
      <c r="DQ24" s="27">
        <v>0.10270000000000001</v>
      </c>
      <c r="DR24" s="27">
        <v>2.4180879115385762E-2</v>
      </c>
      <c r="DS24" s="27">
        <v>2.0079372103467861E-2</v>
      </c>
      <c r="DT24" s="27">
        <v>3.4239891893164551E-2</v>
      </c>
      <c r="DU24" s="30">
        <v>8.9420310000000001</v>
      </c>
      <c r="DV24">
        <v>2.2000000000000002</v>
      </c>
      <c r="DW24">
        <v>2.4</v>
      </c>
      <c r="DX24">
        <v>102.1</v>
      </c>
      <c r="DY24">
        <v>102.1</v>
      </c>
      <c r="DZ24">
        <v>0.9</v>
      </c>
      <c r="EA24">
        <v>0.7</v>
      </c>
      <c r="EB24">
        <v>1.494866</v>
      </c>
    </row>
    <row r="25" spans="1:132" ht="18">
      <c r="A25" s="14" t="s">
        <v>136</v>
      </c>
      <c r="B25" s="14">
        <v>11</v>
      </c>
      <c r="C25" s="14" t="s">
        <v>137</v>
      </c>
      <c r="D25" s="14" t="s">
        <v>138</v>
      </c>
      <c r="E25" s="14" t="s">
        <v>139</v>
      </c>
      <c r="F25" s="15">
        <v>262.14600000000002</v>
      </c>
      <c r="G25" s="15">
        <v>2.418543235342967</v>
      </c>
      <c r="H25" s="15">
        <v>262</v>
      </c>
      <c r="I25" s="15">
        <v>0</v>
      </c>
      <c r="J25" s="16">
        <v>0</v>
      </c>
      <c r="K25" s="16">
        <v>0</v>
      </c>
      <c r="L25" s="17">
        <v>3.5375084171449314E-2</v>
      </c>
      <c r="M25" s="18">
        <v>16</v>
      </c>
      <c r="N25" s="18">
        <v>17</v>
      </c>
      <c r="O25" s="18">
        <v>0.88823959094229366</v>
      </c>
      <c r="P25" s="18">
        <v>1</v>
      </c>
      <c r="Q25" s="18">
        <v>1</v>
      </c>
      <c r="R25" s="18">
        <v>16</v>
      </c>
      <c r="S25" s="18">
        <v>3</v>
      </c>
      <c r="T25" s="19">
        <v>4475.3</v>
      </c>
      <c r="U25" s="19">
        <v>3.650822153389933</v>
      </c>
      <c r="V25" s="20">
        <v>3506</v>
      </c>
      <c r="W25" s="20">
        <v>3.5448119117577761</v>
      </c>
      <c r="X25" s="20">
        <v>0.32963520120345996</v>
      </c>
      <c r="Y25" s="20">
        <v>0.15400762970000001</v>
      </c>
      <c r="Z25" s="20">
        <f t="shared" si="3"/>
        <v>-0.81245776322503571</v>
      </c>
      <c r="AA25" s="20"/>
      <c r="AB25" s="20"/>
      <c r="AC25" s="20">
        <v>158.61600000000001</v>
      </c>
      <c r="AD25" s="21">
        <v>0</v>
      </c>
      <c r="AE25" s="21">
        <f t="shared" si="0"/>
        <v>0</v>
      </c>
      <c r="AF25" s="21">
        <v>0</v>
      </c>
      <c r="AG25" s="22">
        <v>7.9482138109998421E-2</v>
      </c>
      <c r="AH25" s="22">
        <v>589</v>
      </c>
      <c r="AI25" s="22">
        <v>3.1719546099999998</v>
      </c>
      <c r="AJ25" s="23">
        <v>10636</v>
      </c>
      <c r="AK25" s="23">
        <f t="shared" si="10"/>
        <v>4.0267783286595291</v>
      </c>
      <c r="AL25" s="24">
        <v>0.94584127200000001</v>
      </c>
      <c r="AM25" s="22">
        <v>3343.585</v>
      </c>
      <c r="AN25" s="22">
        <f t="shared" si="4"/>
        <v>0.45119742742363167</v>
      </c>
      <c r="AO25" s="23">
        <v>0.24227045865471286</v>
      </c>
      <c r="AP25" s="23">
        <v>8.6604629661791721E-3</v>
      </c>
      <c r="AQ25" s="23">
        <v>-6.2458891090892123E-2</v>
      </c>
      <c r="AR25" s="23">
        <v>7410.47</v>
      </c>
      <c r="AS25" s="23">
        <v>3.8698457534494195</v>
      </c>
      <c r="AT25" s="23">
        <v>3.8609853115942321</v>
      </c>
      <c r="AU25" s="22">
        <v>0.23300000000000001</v>
      </c>
      <c r="AV25" s="22">
        <v>0.18586178689999999</v>
      </c>
      <c r="AW25" s="22">
        <v>12.9</v>
      </c>
      <c r="AX25" s="22">
        <v>11.2</v>
      </c>
      <c r="AY25" s="22">
        <v>1</v>
      </c>
      <c r="AZ25" s="24">
        <v>4731.5550000000003</v>
      </c>
      <c r="BA25" s="24">
        <f t="shared" si="5"/>
        <v>3.6750038927326876</v>
      </c>
      <c r="BB25" s="24">
        <v>2726.2979999999998</v>
      </c>
      <c r="BC25" s="24">
        <f t="shared" si="6"/>
        <v>3.4355733249697438</v>
      </c>
      <c r="BD25" s="24">
        <v>2005.2570000000005</v>
      </c>
      <c r="BE25" s="23">
        <v>1146.316</v>
      </c>
      <c r="BF25" s="23">
        <f t="shared" si="11"/>
        <v>160.32200000000077</v>
      </c>
      <c r="BG25" s="23">
        <v>-0.21857719365217865</v>
      </c>
      <c r="BH25" s="23">
        <v>0.15468870395534967</v>
      </c>
      <c r="BI25" s="23">
        <v>0.20203795332038529</v>
      </c>
      <c r="BJ25" s="23">
        <v>8.6683860738553359E-2</v>
      </c>
      <c r="BK25" s="23">
        <v>-0.23435819155201351</v>
      </c>
      <c r="BL25" s="23">
        <v>1466.96</v>
      </c>
      <c r="BM25" s="22">
        <v>703.47799999999995</v>
      </c>
      <c r="BN25" s="22">
        <f t="shared" si="12"/>
        <v>683.48100000000011</v>
      </c>
      <c r="BO25" s="22">
        <v>2.8472505202099971</v>
      </c>
      <c r="BP25" s="22">
        <v>0.14867797161821006</v>
      </c>
      <c r="BQ25" s="22">
        <v>0.10885223491417854</v>
      </c>
      <c r="BR25" s="22">
        <v>7.8925478825324941E-2</v>
      </c>
      <c r="BS25" s="22">
        <v>-1119.8330000000001</v>
      </c>
      <c r="BT25" s="22">
        <v>3.049153261432525</v>
      </c>
      <c r="BU25" s="22">
        <v>0.15111497651296071</v>
      </c>
      <c r="BV25" s="23">
        <v>1665.4159999999999</v>
      </c>
      <c r="BW25" s="22">
        <v>948.45100000000002</v>
      </c>
      <c r="BX25" s="22">
        <v>62.99</v>
      </c>
      <c r="BY25" s="22">
        <v>1.7992716083498728</v>
      </c>
      <c r="BZ25" s="25">
        <v>0.95925349922239522</v>
      </c>
      <c r="CA25" s="23">
        <v>4.4032796875923887</v>
      </c>
      <c r="CB25" s="23">
        <v>440.3279687592389</v>
      </c>
      <c r="CC25" s="23">
        <v>2.6437762718597724</v>
      </c>
      <c r="CD25" s="23">
        <v>5.4867350811381188</v>
      </c>
      <c r="CE25" s="23">
        <v>6.2008976810073415</v>
      </c>
      <c r="CF25" s="23">
        <v>1.5261228230980755</v>
      </c>
      <c r="CG25" s="23">
        <f t="shared" si="7"/>
        <v>0.42273041658147359</v>
      </c>
      <c r="CH25" s="26">
        <v>18.02</v>
      </c>
      <c r="CI25" s="26">
        <v>23.4</v>
      </c>
      <c r="CJ25" s="26">
        <v>1.2557547866430441</v>
      </c>
      <c r="CK25" s="26">
        <v>1.3692158574101427</v>
      </c>
      <c r="CL25" s="26">
        <v>-0.22991452991452987</v>
      </c>
      <c r="CM25" s="27">
        <v>18.608429118773955</v>
      </c>
      <c r="CN25" s="27">
        <v>-0.26379058716672099</v>
      </c>
      <c r="CO25" s="27">
        <v>10.244782608695646</v>
      </c>
      <c r="CP25" s="27">
        <v>-0.28825696259759365</v>
      </c>
      <c r="CQ25" s="27">
        <v>71.254230769230816</v>
      </c>
      <c r="CR25" s="27">
        <v>-0.24593768180670883</v>
      </c>
      <c r="CS25" s="27">
        <v>0.83494252873563157</v>
      </c>
      <c r="CT25" s="27">
        <v>1.0720384615384604</v>
      </c>
      <c r="CU25" s="27">
        <v>-0.22116364413136569</v>
      </c>
      <c r="CV25" s="27">
        <v>0.95088122605364045</v>
      </c>
      <c r="CW25" s="27">
        <v>1.9781262728880398</v>
      </c>
      <c r="CX25" s="28">
        <v>0.54</v>
      </c>
      <c r="CY25" s="28">
        <v>0.92</v>
      </c>
      <c r="CZ25" s="29">
        <v>24.56237548</v>
      </c>
      <c r="DA25" s="27">
        <v>-0.18114392008251654</v>
      </c>
      <c r="DB25" s="27">
        <v>1.7682050254071211</v>
      </c>
      <c r="DC25" s="27">
        <v>1.9709466682529033</v>
      </c>
      <c r="DD25" s="27">
        <v>2</v>
      </c>
      <c r="DE25" s="28">
        <v>1.36</v>
      </c>
      <c r="DF25" s="28">
        <v>101.3938</v>
      </c>
      <c r="DG25" s="28">
        <v>4.6190119453034919</v>
      </c>
      <c r="DH25" s="28">
        <v>1.0394760000000001</v>
      </c>
      <c r="DI25" s="28">
        <v>1.1174120000000001</v>
      </c>
      <c r="DJ25" s="27">
        <v>0.7</v>
      </c>
      <c r="DK25" s="27">
        <v>1.9</v>
      </c>
      <c r="DL25" s="27">
        <v>1.6829215601661535E-2</v>
      </c>
      <c r="DM25" s="27">
        <v>0.75800000000000001</v>
      </c>
      <c r="DN25" s="28">
        <v>0.74839999999999995</v>
      </c>
      <c r="DO25" s="28">
        <v>7.3744619799139169E-2</v>
      </c>
      <c r="DP25" s="28">
        <f t="shared" si="13"/>
        <v>-1.7371013741249636E-2</v>
      </c>
      <c r="DQ25" s="27">
        <v>8.4699999999999998E-2</v>
      </c>
      <c r="DR25" s="27">
        <v>2.0079372103467861E-2</v>
      </c>
      <c r="DS25" s="27">
        <v>1.50675227484701E-2</v>
      </c>
      <c r="DT25" s="27">
        <v>2.4180879115385762E-2</v>
      </c>
      <c r="DU25" s="30">
        <v>8.0652849999999994</v>
      </c>
      <c r="DV25">
        <v>0.9</v>
      </c>
      <c r="DW25">
        <v>1.4</v>
      </c>
      <c r="DX25">
        <v>103.9</v>
      </c>
      <c r="DY25">
        <v>103.8</v>
      </c>
      <c r="DZ25">
        <v>0.1</v>
      </c>
      <c r="EA25">
        <v>0</v>
      </c>
      <c r="EB25">
        <v>1.826854</v>
      </c>
    </row>
    <row r="26" spans="1:132" ht="18">
      <c r="A26" s="14" t="s">
        <v>136</v>
      </c>
      <c r="B26" s="14">
        <v>12</v>
      </c>
      <c r="C26" s="14" t="s">
        <v>137</v>
      </c>
      <c r="D26" s="14" t="s">
        <v>138</v>
      </c>
      <c r="E26" s="14" t="s">
        <v>139</v>
      </c>
      <c r="F26" s="15">
        <v>986.98599999999999</v>
      </c>
      <c r="G26" s="15">
        <v>2.9943109924205298</v>
      </c>
      <c r="H26" s="15">
        <v>987</v>
      </c>
      <c r="I26" s="15">
        <v>0</v>
      </c>
      <c r="J26" s="16">
        <v>0</v>
      </c>
      <c r="K26" s="16">
        <v>0</v>
      </c>
      <c r="L26" s="17">
        <v>0.13081689483736458</v>
      </c>
      <c r="M26" s="18">
        <v>16</v>
      </c>
      <c r="N26" s="18">
        <v>17</v>
      </c>
      <c r="O26" s="18">
        <v>0.88823959094229366</v>
      </c>
      <c r="P26" s="18">
        <v>1</v>
      </c>
      <c r="Q26" s="18">
        <v>1</v>
      </c>
      <c r="R26" s="18">
        <v>16</v>
      </c>
      <c r="S26" s="18">
        <v>3</v>
      </c>
      <c r="T26" s="19">
        <v>5046.7</v>
      </c>
      <c r="U26" s="19">
        <v>3.7030074889585767</v>
      </c>
      <c r="V26" s="20">
        <v>4953</v>
      </c>
      <c r="W26" s="20">
        <v>3.6948683279824559</v>
      </c>
      <c r="X26" s="20">
        <v>0.37451795841209828</v>
      </c>
      <c r="Y26" s="20">
        <v>0.20203639230000001</v>
      </c>
      <c r="Z26" s="20">
        <f t="shared" si="3"/>
        <v>-0.69457039514974572</v>
      </c>
      <c r="AA26" s="20"/>
      <c r="AB26" s="20"/>
      <c r="AC26" s="20">
        <v>246.048</v>
      </c>
      <c r="AD26" s="21">
        <v>0</v>
      </c>
      <c r="AE26" s="21">
        <f t="shared" si="0"/>
        <v>0</v>
      </c>
      <c r="AF26" s="21">
        <v>0</v>
      </c>
      <c r="AG26" s="22">
        <v>7.2275147059847833E-2</v>
      </c>
      <c r="AH26" s="22">
        <v>882</v>
      </c>
      <c r="AI26" s="22">
        <v>2.796629995</v>
      </c>
      <c r="AJ26" s="23">
        <v>13225</v>
      </c>
      <c r="AK26" s="23">
        <f t="shared" si="10"/>
        <v>4.1213956807072236</v>
      </c>
      <c r="AL26" s="24">
        <v>0.96213276400000003</v>
      </c>
      <c r="AM26" s="22">
        <f>2865.167+1793.403</f>
        <v>4658.57</v>
      </c>
      <c r="AN26" s="22">
        <f t="shared" si="4"/>
        <v>0.38174470729999471</v>
      </c>
      <c r="AO26" s="23">
        <v>0.19359902511302443</v>
      </c>
      <c r="AP26" s="23">
        <v>2.4335716770844239E-2</v>
      </c>
      <c r="AQ26" s="23">
        <v>0.38624414223919729</v>
      </c>
      <c r="AR26" s="23">
        <v>12203.365</v>
      </c>
      <c r="AS26" s="23">
        <v>4.0864796011195921</v>
      </c>
      <c r="AT26" s="23">
        <v>3.8698457534494195</v>
      </c>
      <c r="AU26" s="22">
        <v>0.14199999999999999</v>
      </c>
      <c r="AV26" s="22">
        <v>0.14184414549999999</v>
      </c>
      <c r="AW26" s="22">
        <v>21.1</v>
      </c>
      <c r="AX26" s="22">
        <v>12.9</v>
      </c>
      <c r="AY26" s="22">
        <v>1</v>
      </c>
      <c r="AZ26" s="24">
        <v>5245.326</v>
      </c>
      <c r="BA26" s="24">
        <f t="shared" si="5"/>
        <v>3.7197724850179217</v>
      </c>
      <c r="BB26" s="24">
        <v>3968.0639999999999</v>
      </c>
      <c r="BC26" s="24">
        <f t="shared" si="6"/>
        <v>3.5985786681753598</v>
      </c>
      <c r="BD26" s="24">
        <v>1277.2620000000002</v>
      </c>
      <c r="BE26" s="23">
        <v>1015.49</v>
      </c>
      <c r="BF26" s="23">
        <f t="shared" si="11"/>
        <v>65.413000000000011</v>
      </c>
      <c r="BG26" s="23">
        <v>-0.11412734359461092</v>
      </c>
      <c r="BH26" s="23">
        <v>0.13459486612616123</v>
      </c>
      <c r="BI26" s="23">
        <v>0.15468870395534967</v>
      </c>
      <c r="BJ26" s="23">
        <v>8.6683860738553359E-2</v>
      </c>
      <c r="BK26" s="23">
        <v>-0.12989854666432823</v>
      </c>
      <c r="BL26" s="23">
        <v>1146.316</v>
      </c>
      <c r="BM26" s="22">
        <v>1054.173</v>
      </c>
      <c r="BN26" s="22">
        <f t="shared" si="12"/>
        <v>175.34750000000031</v>
      </c>
      <c r="BO26" s="22">
        <v>3.0229118886564232</v>
      </c>
      <c r="BP26" s="22">
        <v>0.20097378122923151</v>
      </c>
      <c r="BQ26" s="22">
        <v>2.6147904805510849E-2</v>
      </c>
      <c r="BR26" s="22">
        <v>0.10885223491417854</v>
      </c>
      <c r="BS26" s="22">
        <v>-368.31400000000002</v>
      </c>
      <c r="BT26" s="22">
        <v>2.5662182271557255</v>
      </c>
      <c r="BU26" s="22">
        <v>4.8816998219963714E-2</v>
      </c>
      <c r="BV26" s="23">
        <v>481.42500000000001</v>
      </c>
      <c r="BW26" s="22">
        <v>1700.44</v>
      </c>
      <c r="BX26" s="22">
        <v>90.45</v>
      </c>
      <c r="BY26" s="22">
        <v>1.9564085711958326</v>
      </c>
      <c r="BZ26" s="25">
        <v>0.43594221304969044</v>
      </c>
      <c r="CA26" s="23">
        <v>6.2008976810073415</v>
      </c>
      <c r="CB26" s="23">
        <v>620.0897681007342</v>
      </c>
      <c r="CC26" s="23">
        <v>2.7924545652543009</v>
      </c>
      <c r="CD26" s="23">
        <v>4.4032796875923887</v>
      </c>
      <c r="CE26" s="23">
        <v>3.2328964967901963</v>
      </c>
      <c r="CF26" s="23">
        <v>1.6429509632224168</v>
      </c>
      <c r="CG26" s="23">
        <f t="shared" si="7"/>
        <v>0.49649399273171618</v>
      </c>
      <c r="CH26" s="26">
        <v>13.72</v>
      </c>
      <c r="CI26" s="26">
        <v>18.02</v>
      </c>
      <c r="CJ26" s="26">
        <v>1.1373541113707328</v>
      </c>
      <c r="CK26" s="26">
        <v>1.2557547866430441</v>
      </c>
      <c r="CL26" s="26">
        <v>-0.23862375138734734</v>
      </c>
      <c r="CM26" s="27">
        <v>14.834099616858232</v>
      </c>
      <c r="CN26" s="27">
        <v>-0.20282902322516949</v>
      </c>
      <c r="CO26" s="27">
        <v>8.3248809523809495</v>
      </c>
      <c r="CP26" s="27">
        <v>-0.18740286930882333</v>
      </c>
      <c r="CQ26" s="27">
        <v>73.031538461538446</v>
      </c>
      <c r="CR26" s="27">
        <v>2.494318825872599E-2</v>
      </c>
      <c r="CS26" s="27">
        <v>0.8023754789272034</v>
      </c>
      <c r="CT26" s="27">
        <v>0.83494252873563157</v>
      </c>
      <c r="CU26" s="27">
        <v>-3.9005139500733109E-2</v>
      </c>
      <c r="CV26" s="27">
        <v>0.96896551724137914</v>
      </c>
      <c r="CW26" s="27">
        <v>1.9863083220061237</v>
      </c>
      <c r="CX26" s="28">
        <v>0.62</v>
      </c>
      <c r="CY26" s="28">
        <v>0.54</v>
      </c>
      <c r="CZ26" s="29">
        <v>18.565019159999999</v>
      </c>
      <c r="DA26" s="27">
        <v>-0.24416841623821645</v>
      </c>
      <c r="DB26" s="27">
        <v>1.1698744465812936</v>
      </c>
      <c r="DC26" s="27">
        <v>1.7682050254071211</v>
      </c>
      <c r="DD26" s="27">
        <v>2</v>
      </c>
      <c r="DE26" s="28">
        <v>1.74</v>
      </c>
      <c r="DF26" s="28">
        <v>102.48666</v>
      </c>
      <c r="DG26" s="28">
        <v>4.6297326437672295</v>
      </c>
      <c r="DH26" s="28">
        <v>1.065922</v>
      </c>
      <c r="DI26" s="28">
        <v>1.127513</v>
      </c>
      <c r="DJ26" s="27">
        <v>0.9</v>
      </c>
      <c r="DK26" s="27">
        <v>1.3</v>
      </c>
      <c r="DL26" s="27">
        <v>1.2152522197973097E-2</v>
      </c>
      <c r="DM26" s="27">
        <v>0.72770000000000001</v>
      </c>
      <c r="DN26" s="28">
        <v>0.77380000000000004</v>
      </c>
      <c r="DO26" s="28">
        <v>3.3939070016034328E-2</v>
      </c>
      <c r="DP26" s="28">
        <f>(DM26-DM25)/DM25</f>
        <v>-3.9973614775725586E-2</v>
      </c>
      <c r="DQ26" s="27">
        <v>5.8499999999999996E-2</v>
      </c>
      <c r="DR26" s="27">
        <v>1.50675227484701E-2</v>
      </c>
      <c r="DS26" s="27">
        <v>3.1335239457349999E-2</v>
      </c>
      <c r="DT26" s="27">
        <v>2.0079372103467861E-2</v>
      </c>
      <c r="DU26" s="30">
        <v>7.3719619999999999</v>
      </c>
      <c r="DV26">
        <v>1.5</v>
      </c>
      <c r="DW26">
        <v>2.1</v>
      </c>
      <c r="DX26">
        <v>105.4</v>
      </c>
      <c r="DY26">
        <v>105.7</v>
      </c>
      <c r="DZ26">
        <v>0.2</v>
      </c>
      <c r="EA26">
        <v>0.8</v>
      </c>
      <c r="EB26">
        <v>1.343728</v>
      </c>
    </row>
    <row r="27" spans="1:132" ht="18">
      <c r="A27" s="14" t="s">
        <v>136</v>
      </c>
      <c r="B27" s="14">
        <v>13</v>
      </c>
      <c r="C27" s="14" t="s">
        <v>137</v>
      </c>
      <c r="D27" s="14" t="s">
        <v>138</v>
      </c>
      <c r="E27" s="14" t="s">
        <v>139</v>
      </c>
      <c r="F27" s="15">
        <v>1219.894</v>
      </c>
      <c r="G27" s="15">
        <v>3.086322095252545</v>
      </c>
      <c r="H27" s="15">
        <v>1219.9000000000001</v>
      </c>
      <c r="I27" s="15">
        <v>0</v>
      </c>
      <c r="J27" s="16">
        <v>0</v>
      </c>
      <c r="K27" s="16">
        <v>0</v>
      </c>
      <c r="L27" s="17">
        <v>0.14581690260377506</v>
      </c>
      <c r="M27" s="18">
        <v>16</v>
      </c>
      <c r="N27" s="18">
        <v>17</v>
      </c>
      <c r="O27" s="18">
        <v>0.88823959094229366</v>
      </c>
      <c r="P27" s="18">
        <v>1</v>
      </c>
      <c r="Q27" s="18">
        <v>1</v>
      </c>
      <c r="R27" s="18">
        <v>16</v>
      </c>
      <c r="S27" s="18">
        <v>3</v>
      </c>
      <c r="T27" s="19">
        <v>5658.6</v>
      </c>
      <c r="U27" s="19">
        <v>3.7527089952372235</v>
      </c>
      <c r="V27" s="20">
        <v>5480</v>
      </c>
      <c r="W27" s="20">
        <v>3.7387805584843692</v>
      </c>
      <c r="X27" s="20">
        <v>0.38942581011938604</v>
      </c>
      <c r="Y27" s="20">
        <v>0.22215121970000001</v>
      </c>
      <c r="Z27" s="20">
        <f t="shared" si="3"/>
        <v>-0.65335129796429681</v>
      </c>
      <c r="AA27" s="20"/>
      <c r="AB27" s="20"/>
      <c r="AC27" s="20">
        <v>321.56900000000002</v>
      </c>
      <c r="AD27" s="21">
        <v>0</v>
      </c>
      <c r="AE27" s="21">
        <f t="shared" si="0"/>
        <v>0</v>
      </c>
      <c r="AF27" s="21">
        <v>0</v>
      </c>
      <c r="AG27" s="22">
        <v>8.2189195702193796E-2</v>
      </c>
      <c r="AH27" s="22">
        <v>1074</v>
      </c>
      <c r="AI27" s="22">
        <v>3.78917825</v>
      </c>
      <c r="AJ27" s="23">
        <v>14072</v>
      </c>
      <c r="AK27" s="23">
        <f t="shared" si="10"/>
        <v>4.1483558264494045</v>
      </c>
      <c r="AL27" s="24">
        <v>0.96624527800000004</v>
      </c>
      <c r="AM27" s="22">
        <f>2886.943+1814.538</f>
        <v>4701.4809999999998</v>
      </c>
      <c r="AN27" s="22">
        <f t="shared" si="4"/>
        <v>0.35978672439399051</v>
      </c>
      <c r="AO27" s="23">
        <v>0.20433459687784578</v>
      </c>
      <c r="AP27" s="23">
        <v>5.3677858824106722E-3</v>
      </c>
      <c r="AQ27" s="23">
        <v>-0.2702048162262024</v>
      </c>
      <c r="AR27" s="23">
        <v>13067.411</v>
      </c>
      <c r="AS27" s="23">
        <v>4.1161895508711455</v>
      </c>
      <c r="AT27" s="23">
        <v>4.0864796011195921</v>
      </c>
      <c r="AU27" s="22">
        <v>0.13800000000000001</v>
      </c>
      <c r="AV27" s="22">
        <v>0.13744748039999999</v>
      </c>
      <c r="AW27" s="22">
        <v>31.7</v>
      </c>
      <c r="AX27" s="22">
        <v>21.1</v>
      </c>
      <c r="AY27" s="22">
        <v>1</v>
      </c>
      <c r="AZ27" s="24">
        <v>5856.277</v>
      </c>
      <c r="BA27" s="24">
        <f t="shared" si="5"/>
        <v>3.767621610524102</v>
      </c>
      <c r="BB27" s="24">
        <v>3259.9029999999998</v>
      </c>
      <c r="BC27" s="24">
        <f t="shared" si="6"/>
        <v>3.5132046776165629</v>
      </c>
      <c r="BD27" s="24">
        <v>2596.3740000000003</v>
      </c>
      <c r="BE27" s="23">
        <v>1196.6400000000001</v>
      </c>
      <c r="BF27" s="23">
        <f t="shared" si="11"/>
        <v>90.575000000000045</v>
      </c>
      <c r="BG27" s="23">
        <v>0.17838678864390597</v>
      </c>
      <c r="BH27" s="23">
        <v>0.14303729531564333</v>
      </c>
      <c r="BI27" s="23">
        <v>0.13459486612616123</v>
      </c>
      <c r="BJ27" s="23">
        <v>8.6683860738553359E-2</v>
      </c>
      <c r="BK27" s="23">
        <v>6.2724748963074617E-2</v>
      </c>
      <c r="BL27" s="23">
        <v>1015.49</v>
      </c>
      <c r="BM27" s="22">
        <v>1025.2059999999999</v>
      </c>
      <c r="BN27" s="22">
        <f>STDEVP(BM26:BM27)</f>
        <v>14.483500000000049</v>
      </c>
      <c r="BO27" s="22">
        <v>3.0108111392204258</v>
      </c>
      <c r="BP27" s="22">
        <v>0.1750610498786174</v>
      </c>
      <c r="BQ27" s="22">
        <v>1.2956365675307058E-2</v>
      </c>
      <c r="BR27" s="22">
        <v>2.6147904805510849E-2</v>
      </c>
      <c r="BS27" s="22">
        <v>-16.212</v>
      </c>
      <c r="BT27" s="22">
        <v>1.2098365950696555</v>
      </c>
      <c r="BU27" s="22">
        <v>1.9378598673429014E-3</v>
      </c>
      <c r="BV27" s="23">
        <v>944.65099999999995</v>
      </c>
      <c r="BW27" s="22">
        <v>1650.373</v>
      </c>
      <c r="BX27" s="22">
        <v>106.6</v>
      </c>
      <c r="BY27" s="22">
        <v>2.0277572046905536</v>
      </c>
      <c r="BZ27" s="25">
        <v>0.17855168601437249</v>
      </c>
      <c r="CA27" s="23">
        <v>3.2328964967901963</v>
      </c>
      <c r="CB27" s="23">
        <v>323.28964967901965</v>
      </c>
      <c r="CC27" s="23">
        <v>2.5095918006237943</v>
      </c>
      <c r="CD27" s="23">
        <v>6.2008976810073415</v>
      </c>
      <c r="CE27" s="23">
        <v>4.1302630899999997</v>
      </c>
      <c r="CF27" s="23">
        <v>1.5640758129021042</v>
      </c>
      <c r="CG27" s="23">
        <f t="shared" si="7"/>
        <v>0.4472951146708794</v>
      </c>
      <c r="CH27" s="26">
        <v>19.2</v>
      </c>
      <c r="CI27" s="26">
        <v>13.72</v>
      </c>
      <c r="CJ27" s="26">
        <v>1.2833012287035497</v>
      </c>
      <c r="CK27" s="26">
        <v>1.1373541113707328</v>
      </c>
      <c r="CL27" s="26">
        <v>0.39941690962099113</v>
      </c>
      <c r="CM27" s="27">
        <v>14.883180076628348</v>
      </c>
      <c r="CN27" s="27">
        <v>3.3086241186042575E-3</v>
      </c>
      <c r="CO27" s="27">
        <v>6.9159523809523806</v>
      </c>
      <c r="CP27" s="27">
        <v>-0.16924308941926786</v>
      </c>
      <c r="CQ27" s="27">
        <v>64.583076923076902</v>
      </c>
      <c r="CR27" s="27">
        <v>-0.11568237115682381</v>
      </c>
      <c r="CS27" s="27">
        <v>0.66574712643678124</v>
      </c>
      <c r="CT27" s="27">
        <v>0.8023754789272034</v>
      </c>
      <c r="CU27" s="27">
        <v>-0.1702798204564997</v>
      </c>
      <c r="CV27" s="27">
        <v>0.67685823754789287</v>
      </c>
      <c r="CW27" s="27">
        <v>1.8304977187626064</v>
      </c>
      <c r="CX27" s="28">
        <v>1.33</v>
      </c>
      <c r="CY27" s="28">
        <v>0.62</v>
      </c>
      <c r="CZ27" s="29">
        <v>18.278045980000002</v>
      </c>
      <c r="DA27" s="27">
        <v>-1.5457736807420394E-2</v>
      </c>
      <c r="DC27" s="27">
        <v>1.1698744465812936</v>
      </c>
      <c r="DD27" s="27">
        <v>2</v>
      </c>
      <c r="DE27" s="28">
        <v>1.24</v>
      </c>
      <c r="DF27" s="28">
        <v>103.578112</v>
      </c>
      <c r="DG27" s="28">
        <v>4.6403260333725855</v>
      </c>
      <c r="DH27" s="28">
        <v>1.0722480000000001</v>
      </c>
      <c r="DI27" s="28">
        <v>1.104112</v>
      </c>
      <c r="DJ27" s="27">
        <v>0.4</v>
      </c>
      <c r="DK27" s="27">
        <v>1</v>
      </c>
      <c r="DL27" s="27">
        <v>1.7108786898118553E-2</v>
      </c>
      <c r="DM27" s="27">
        <v>0.8266</v>
      </c>
      <c r="DN27" s="28">
        <v>0.75860000000000005</v>
      </c>
      <c r="DO27" s="28">
        <v>-1.9643318686999211E-2</v>
      </c>
      <c r="DP27" s="28">
        <f t="shared" si="13"/>
        <v>0.13590765425312626</v>
      </c>
      <c r="DQ27" s="27">
        <v>0.10860000000000003</v>
      </c>
      <c r="DR27" s="27">
        <v>3.1335239457349999E-2</v>
      </c>
      <c r="DS27" s="27">
        <v>2.7611694356583942E-2</v>
      </c>
      <c r="DT27" s="27">
        <v>1.50675227484701E-2</v>
      </c>
      <c r="DU27" s="30">
        <v>6.1553740000000001</v>
      </c>
      <c r="DV27">
        <v>1.6</v>
      </c>
      <c r="DW27">
        <v>2.2999999999999998</v>
      </c>
      <c r="DX27">
        <v>107</v>
      </c>
      <c r="DY27">
        <v>107.5</v>
      </c>
      <c r="DZ27">
        <v>0.4</v>
      </c>
      <c r="EA27">
        <v>1.1000000000000001</v>
      </c>
      <c r="EB27">
        <v>1.4054869999999999</v>
      </c>
    </row>
    <row r="28" spans="1:132" ht="18">
      <c r="A28" s="14" t="s">
        <v>140</v>
      </c>
      <c r="B28" s="14">
        <v>1</v>
      </c>
      <c r="C28" s="14" t="s">
        <v>141</v>
      </c>
      <c r="D28" s="14" t="s">
        <v>142</v>
      </c>
      <c r="E28" s="14" t="s">
        <v>143</v>
      </c>
      <c r="F28" s="15">
        <v>4000</v>
      </c>
      <c r="G28" s="15">
        <v>3.6020599913279625</v>
      </c>
      <c r="H28" s="15">
        <v>2979</v>
      </c>
      <c r="I28" s="15">
        <v>239</v>
      </c>
      <c r="J28" s="16"/>
      <c r="K28" s="16">
        <v>1</v>
      </c>
      <c r="L28" s="17">
        <v>9.5941667466180561E-2</v>
      </c>
      <c r="M28" s="18">
        <v>100</v>
      </c>
      <c r="N28" s="18">
        <v>73</v>
      </c>
      <c r="O28" s="18">
        <v>0.91744311002468082</v>
      </c>
      <c r="P28" s="18">
        <v>3</v>
      </c>
      <c r="Q28" s="18">
        <f>(3+3+2)/3</f>
        <v>2.6666666666666665</v>
      </c>
      <c r="R28" s="18">
        <v>100</v>
      </c>
      <c r="S28" s="18">
        <v>5</v>
      </c>
      <c r="T28" s="19">
        <v>16988</v>
      </c>
      <c r="U28" s="19">
        <v>4.2301422523186423</v>
      </c>
      <c r="V28" s="20">
        <v>52000</v>
      </c>
      <c r="W28" s="20">
        <v>4.7160033436347994</v>
      </c>
      <c r="X28" s="20">
        <v>0.42414355628058725</v>
      </c>
      <c r="Y28" s="20"/>
      <c r="Z28" s="20"/>
      <c r="AA28" s="20">
        <v>0.40327318509999999</v>
      </c>
      <c r="AB28" s="20">
        <v>961</v>
      </c>
      <c r="AC28" s="20"/>
      <c r="AD28" s="21">
        <v>8948</v>
      </c>
      <c r="AE28" s="21">
        <f t="shared" si="0"/>
        <v>0.21462151012184591</v>
      </c>
      <c r="AF28" s="21">
        <f t="shared" ref="AF28:AF40" si="14">LOG(AD28)</f>
        <v>3.9517259754245919</v>
      </c>
      <c r="AG28" s="22">
        <v>6.1810419265086826E-2</v>
      </c>
      <c r="AH28" s="22"/>
      <c r="AI28" s="22">
        <v>0.97163351809999998</v>
      </c>
      <c r="AJ28" s="23">
        <v>122600</v>
      </c>
      <c r="AK28" s="23">
        <f t="shared" si="10"/>
        <v>5.0884904701823963</v>
      </c>
      <c r="AL28" s="24">
        <v>0.57345395600000004</v>
      </c>
      <c r="AM28" s="22">
        <f>13550+23320</f>
        <v>36870</v>
      </c>
      <c r="AN28" s="22">
        <f>AM28/AR28</f>
        <v>0.88434231986951928</v>
      </c>
      <c r="AO28" s="23">
        <v>3.5781798541722927E-2</v>
      </c>
      <c r="AP28" s="23">
        <v>1.9536573220588216E-3</v>
      </c>
      <c r="AQ28" s="23">
        <v>-0.70915161062246346</v>
      </c>
      <c r="AR28" s="23">
        <v>41692</v>
      </c>
      <c r="AS28" s="23">
        <v>4.6200527290943958</v>
      </c>
      <c r="AT28" s="23">
        <f>LOG(29564)</f>
        <v>4.4707631936064987</v>
      </c>
      <c r="AU28" s="22">
        <v>0.82799999999999996</v>
      </c>
      <c r="AV28" s="22">
        <v>0.66247147049999999</v>
      </c>
      <c r="AW28" s="22">
        <v>14.9</v>
      </c>
      <c r="AX28" s="22"/>
      <c r="AY28" s="22">
        <v>1</v>
      </c>
      <c r="AZ28" s="24">
        <v>29624</v>
      </c>
      <c r="BA28" s="24">
        <f t="shared" si="5"/>
        <v>4.4716436990413859</v>
      </c>
      <c r="BB28" s="24">
        <v>17509</v>
      </c>
      <c r="BC28" s="24">
        <f t="shared" si="6"/>
        <v>4.2432613427205848</v>
      </c>
      <c r="BD28" s="24">
        <v>12115</v>
      </c>
      <c r="BE28" s="23">
        <v>1060</v>
      </c>
      <c r="BF28" s="23">
        <v>47.5</v>
      </c>
      <c r="BG28" s="23">
        <v>9.8445595854922283E-2</v>
      </c>
      <c r="BH28" s="23">
        <v>2.5424541878537849E-2</v>
      </c>
      <c r="BI28" s="23">
        <v>2.6053619158184615E-2</v>
      </c>
      <c r="BJ28" s="23">
        <v>2.8073292118489041E-2</v>
      </c>
      <c r="BK28" s="23">
        <v>-2.4145485348017179E-2</v>
      </c>
      <c r="BL28" s="23">
        <v>965</v>
      </c>
      <c r="BM28" s="22">
        <v>4420</v>
      </c>
      <c r="BN28" s="22"/>
      <c r="BO28" s="22">
        <v>3.6454222693490919</v>
      </c>
      <c r="BP28" s="22">
        <v>0.14920334863624088</v>
      </c>
      <c r="BQ28" s="22">
        <v>1.0869221799540751E-2</v>
      </c>
      <c r="BR28" s="22"/>
      <c r="BS28" s="22">
        <v>-6570</v>
      </c>
      <c r="BT28" s="22">
        <v>3.8175653695597807</v>
      </c>
      <c r="BU28" s="22">
        <v>0.15758418881320158</v>
      </c>
      <c r="BV28" s="23">
        <v>4361</v>
      </c>
      <c r="BW28" s="22">
        <v>10159</v>
      </c>
      <c r="BX28" s="22">
        <v>20.45</v>
      </c>
      <c r="BY28" s="22">
        <v>1.3106933123433606</v>
      </c>
      <c r="BZ28" s="25">
        <v>-0.42877094972067037</v>
      </c>
      <c r="CA28" s="23">
        <v>2.9289569919413454</v>
      </c>
      <c r="CB28" s="23">
        <v>292.89569919413452</v>
      </c>
      <c r="CC28" s="23">
        <v>2.466712994658832</v>
      </c>
      <c r="CD28" s="23">
        <v>2.6436985700000002</v>
      </c>
      <c r="CE28" s="23">
        <v>3.9910305202485357</v>
      </c>
      <c r="CF28" s="23">
        <v>2.4025078369905959</v>
      </c>
      <c r="CG28" s="23">
        <f t="shared" si="7"/>
        <v>0.87651312387180635</v>
      </c>
      <c r="CH28" s="26">
        <v>28.62</v>
      </c>
      <c r="CI28" s="26">
        <v>23.8</v>
      </c>
      <c r="CJ28" s="26">
        <v>1.4566696294237576</v>
      </c>
      <c r="CK28" s="26">
        <v>1.3765769570565121</v>
      </c>
      <c r="CL28" s="26">
        <v>0.20252100840336135</v>
      </c>
      <c r="CM28" s="27">
        <v>28.164291187739472</v>
      </c>
      <c r="CN28" s="27">
        <v>5.6821432935815153E-2</v>
      </c>
      <c r="CQ28" s="27">
        <v>125.09884615384618</v>
      </c>
      <c r="CR28" s="27">
        <v>0.13726223776223803</v>
      </c>
      <c r="CS28" s="27">
        <v>0.92386973180076593</v>
      </c>
      <c r="CT28" s="27">
        <v>1.0645593900000001</v>
      </c>
      <c r="CU28" s="27">
        <v>-0.12842478132003218</v>
      </c>
      <c r="CX28" s="28">
        <v>0.76</v>
      </c>
      <c r="CY28" s="28">
        <v>0.82</v>
      </c>
      <c r="CZ28" s="29">
        <v>37.275402300000003</v>
      </c>
      <c r="DA28" s="27">
        <v>0.32652677224199295</v>
      </c>
      <c r="DB28" s="27">
        <v>2.5105365885464708</v>
      </c>
      <c r="DC28" s="27">
        <v>1.25643310503606</v>
      </c>
      <c r="DD28" s="27">
        <v>1</v>
      </c>
      <c r="DE28" s="27">
        <v>1.5</v>
      </c>
      <c r="DF28" s="27">
        <v>92.1</v>
      </c>
      <c r="DG28" s="28">
        <v>4.5228749432612609</v>
      </c>
      <c r="DH28" s="27">
        <v>0.91827000000000003</v>
      </c>
      <c r="DI28" s="27">
        <v>4.8</v>
      </c>
      <c r="DJ28" s="27">
        <v>3.4</v>
      </c>
      <c r="DK28" s="27">
        <v>2.2999999999999998</v>
      </c>
      <c r="DL28" s="27">
        <v>1.1731637610823707E-2</v>
      </c>
      <c r="DM28" s="27">
        <v>0.95289999999999997</v>
      </c>
      <c r="DN28" s="28">
        <v>1.1605000000000001</v>
      </c>
      <c r="DO28" s="28">
        <v>9.3264248704663183E-2</v>
      </c>
      <c r="DP28" s="28">
        <f>(DM28-1.1242)/1.1242</f>
        <v>-0.15237502223803603</v>
      </c>
      <c r="DQ28" s="27">
        <v>0.20879999999999999</v>
      </c>
      <c r="DR28" s="27">
        <v>6.0688564775993471E-2</v>
      </c>
      <c r="DS28" s="27">
        <v>3.9305854754660308E-2</v>
      </c>
      <c r="DT28" s="27">
        <v>3.268886E-2</v>
      </c>
      <c r="DU28" s="30">
        <v>5.7817160000000003</v>
      </c>
      <c r="DV28">
        <v>0.9</v>
      </c>
      <c r="DW28">
        <v>2.8</v>
      </c>
      <c r="DX28">
        <v>84</v>
      </c>
      <c r="DY28">
        <v>80.900000000000006</v>
      </c>
      <c r="DZ28">
        <v>2.2000000000000002</v>
      </c>
      <c r="EA28">
        <v>3</v>
      </c>
      <c r="EB28">
        <v>1.701892</v>
      </c>
    </row>
    <row r="29" spans="1:132" ht="18">
      <c r="A29" s="14" t="s">
        <v>140</v>
      </c>
      <c r="B29" s="14">
        <v>2</v>
      </c>
      <c r="C29" s="14" t="s">
        <v>141</v>
      </c>
      <c r="D29" s="14" t="s">
        <v>142</v>
      </c>
      <c r="E29" s="14" t="s">
        <v>143</v>
      </c>
      <c r="F29" s="15">
        <v>4200</v>
      </c>
      <c r="G29" s="15">
        <v>3.6232492903979003</v>
      </c>
      <c r="H29" s="15">
        <v>3984</v>
      </c>
      <c r="I29" s="15">
        <v>266</v>
      </c>
      <c r="J29" s="16"/>
      <c r="K29" s="16">
        <v>1</v>
      </c>
      <c r="L29" s="17">
        <v>0.11216450794498597</v>
      </c>
      <c r="M29" s="18">
        <v>100</v>
      </c>
      <c r="N29" s="18">
        <v>73</v>
      </c>
      <c r="O29" s="18">
        <v>0.91744311002468082</v>
      </c>
      <c r="P29" s="18">
        <v>3</v>
      </c>
      <c r="Q29" s="18">
        <f t="shared" ref="Q29:Q53" si="15">(3+3+2)/3</f>
        <v>2.6666666666666665</v>
      </c>
      <c r="R29" s="18">
        <v>100</v>
      </c>
      <c r="S29" s="18">
        <v>5</v>
      </c>
      <c r="T29" s="19">
        <v>16405</v>
      </c>
      <c r="U29" s="19">
        <v>4.2149762347220667</v>
      </c>
      <c r="V29" s="20">
        <v>48700</v>
      </c>
      <c r="W29" s="20">
        <v>4.6875289612146345</v>
      </c>
      <c r="X29" s="20">
        <v>0.42201039861351819</v>
      </c>
      <c r="Y29" s="20"/>
      <c r="Z29" s="20"/>
      <c r="AA29" s="20">
        <v>0.39792984469999998</v>
      </c>
      <c r="AB29" s="20">
        <v>692</v>
      </c>
      <c r="AC29" s="20"/>
      <c r="AD29" s="21">
        <v>7117</v>
      </c>
      <c r="AE29" s="21">
        <f t="shared" si="0"/>
        <v>0.19006542929630124</v>
      </c>
      <c r="AF29" s="21">
        <f t="shared" si="14"/>
        <v>3.8522969658269255</v>
      </c>
      <c r="AG29" s="22">
        <v>6.8847643210041401E-2</v>
      </c>
      <c r="AH29" s="22"/>
      <c r="AI29" s="22">
        <v>1.3919593880000001</v>
      </c>
      <c r="AJ29" s="23">
        <v>115400</v>
      </c>
      <c r="AK29" s="23">
        <f t="shared" si="10"/>
        <v>5.062205808819713</v>
      </c>
      <c r="AL29" s="24">
        <v>0.57426401100000002</v>
      </c>
      <c r="AM29" s="22">
        <f>13891+23013</f>
        <v>36904</v>
      </c>
      <c r="AN29" s="22">
        <f t="shared" si="4"/>
        <v>0.98555214314327677</v>
      </c>
      <c r="AO29" s="23">
        <v>-4.7222319459516222E-2</v>
      </c>
      <c r="AP29" s="33">
        <v>2.4508009999999998E-3</v>
      </c>
      <c r="AQ29" s="23">
        <v>-0.61069195113492891</v>
      </c>
      <c r="AR29" s="23">
        <v>37445</v>
      </c>
      <c r="AS29" s="23">
        <v>4.5733938349225207</v>
      </c>
      <c r="AT29" s="23">
        <v>4.6200527290943958</v>
      </c>
      <c r="AU29" s="22">
        <v>0.95699999999999996</v>
      </c>
      <c r="AV29" s="22">
        <v>0.77180054040000001</v>
      </c>
      <c r="AW29" s="22">
        <v>17</v>
      </c>
      <c r="AX29" s="22">
        <v>14.9</v>
      </c>
      <c r="AY29" s="22">
        <v>1</v>
      </c>
      <c r="AZ29" s="24">
        <v>28567</v>
      </c>
      <c r="BA29" s="24">
        <f t="shared" si="5"/>
        <v>4.4558646347875275</v>
      </c>
      <c r="BB29" s="24">
        <v>16801</v>
      </c>
      <c r="BC29" s="24">
        <f t="shared" si="6"/>
        <v>4.2253351318185404</v>
      </c>
      <c r="BD29" s="24">
        <v>11766</v>
      </c>
      <c r="BE29" s="23">
        <v>-1349</v>
      </c>
      <c r="BF29" s="23">
        <f>STDEVP(BE28:BE29)</f>
        <v>1204.5</v>
      </c>
      <c r="BG29" s="23">
        <v>-2.2726415094339623</v>
      </c>
      <c r="BH29" s="23">
        <v>-3.6026171718520496E-2</v>
      </c>
      <c r="BI29" s="23">
        <v>2.5424541878537849E-2</v>
      </c>
      <c r="BJ29" s="23">
        <v>2.8073292118489041E-2</v>
      </c>
      <c r="BK29" s="23">
        <v>-2.4169841049892042</v>
      </c>
      <c r="BL29" s="23">
        <v>1060</v>
      </c>
      <c r="BM29" s="22">
        <v>3293</v>
      </c>
      <c r="BN29" s="22">
        <f>STDEVP(BM28:BM29)</f>
        <v>563.5</v>
      </c>
      <c r="BO29" s="22">
        <v>3.5175917307119078</v>
      </c>
      <c r="BP29" s="22">
        <v>0.11527286729443063</v>
      </c>
      <c r="BQ29" s="22">
        <v>1.6965240670905143E-2</v>
      </c>
      <c r="BR29" s="22">
        <v>1.0869221799540751E-2</v>
      </c>
      <c r="BS29" s="22">
        <v>460</v>
      </c>
      <c r="BT29" s="22"/>
      <c r="BU29" s="22">
        <v>-1.2284684203498465E-2</v>
      </c>
      <c r="BV29" s="23">
        <v>1301</v>
      </c>
      <c r="BW29" s="23">
        <v>9426</v>
      </c>
      <c r="BX29" s="22">
        <v>23.33</v>
      </c>
      <c r="BY29" s="22">
        <v>1.3679147387937527</v>
      </c>
      <c r="BZ29" s="25">
        <v>0.14083129584352075</v>
      </c>
      <c r="CA29" s="23">
        <v>3.9910305202485357</v>
      </c>
      <c r="CB29" s="23">
        <v>399.10305202485358</v>
      </c>
      <c r="CC29" s="23">
        <v>2.6010850489378305</v>
      </c>
      <c r="CD29" s="23">
        <v>2.9289569919413454</v>
      </c>
      <c r="CE29" s="23">
        <v>2.7759121499224668</v>
      </c>
      <c r="CF29" s="23">
        <v>2.4150326797385624</v>
      </c>
      <c r="CG29" s="23">
        <f t="shared" si="7"/>
        <v>0.8817128189958211</v>
      </c>
      <c r="CH29" s="26">
        <v>18.309999999999999</v>
      </c>
      <c r="CI29" s="26">
        <v>28.62</v>
      </c>
      <c r="CJ29" s="26">
        <v>1.2626883443016965</v>
      </c>
      <c r="CK29" s="26">
        <v>1.4566696294237576</v>
      </c>
      <c r="CL29" s="26">
        <v>-0.36023759608665273</v>
      </c>
      <c r="CM29" s="27">
        <v>22.615402298850572</v>
      </c>
      <c r="CN29" s="27">
        <v>-0.19701858825065877</v>
      </c>
      <c r="CQ29" s="27">
        <v>115.89653846153851</v>
      </c>
      <c r="CR29" s="27">
        <v>-7.3560292322686169E-2</v>
      </c>
      <c r="CS29" s="27">
        <v>0.92888888888888932</v>
      </c>
      <c r="CT29" s="27">
        <v>0.92386973180076604</v>
      </c>
      <c r="CU29" s="27">
        <v>5.4327541160378483E-3</v>
      </c>
      <c r="CX29" s="28">
        <v>0.66</v>
      </c>
      <c r="CY29" s="28">
        <v>0.76</v>
      </c>
      <c r="CZ29" s="29">
        <v>31.998965519999999</v>
      </c>
      <c r="DA29" s="27">
        <v>-0.14155277889515908</v>
      </c>
      <c r="DB29" s="27">
        <v>2.6347679627304119</v>
      </c>
      <c r="DC29" s="27">
        <v>2.5105365885464708</v>
      </c>
      <c r="DD29" s="27">
        <v>1</v>
      </c>
      <c r="DE29" s="27">
        <v>1.7</v>
      </c>
      <c r="DF29" s="27">
        <v>93.2</v>
      </c>
      <c r="DG29" s="28">
        <v>4.5347477216915459</v>
      </c>
      <c r="DH29" s="27">
        <v>0.92432999999999998</v>
      </c>
      <c r="DI29" s="27">
        <v>4.9000000000000004</v>
      </c>
      <c r="DJ29" s="27">
        <v>2.8</v>
      </c>
      <c r="DK29" s="27">
        <v>2</v>
      </c>
      <c r="DL29" s="27">
        <v>1.6216043547496031E-2</v>
      </c>
      <c r="DM29" s="27">
        <v>0.79400000000000004</v>
      </c>
      <c r="DN29" s="28">
        <v>1.1231</v>
      </c>
      <c r="DO29" s="28">
        <v>-3.2227488151658851E-2</v>
      </c>
      <c r="DP29" s="28">
        <f>(DM29-DM28)/DM28</f>
        <v>-0.16675411900514214</v>
      </c>
      <c r="DQ29" s="27">
        <v>0.17130000000000001</v>
      </c>
      <c r="DR29" s="27">
        <v>3.9305854754660308E-2</v>
      </c>
      <c r="DS29" s="27">
        <v>2.6867542601332471E-2</v>
      </c>
      <c r="DT29" s="27">
        <v>6.0688564775993471E-2</v>
      </c>
      <c r="DU29" s="30">
        <v>5.9865389999999996</v>
      </c>
      <c r="DV29">
        <v>0.9</v>
      </c>
      <c r="DW29">
        <v>2.8</v>
      </c>
      <c r="DX29">
        <v>85.7</v>
      </c>
      <c r="DY29">
        <v>82.9</v>
      </c>
      <c r="DZ29">
        <v>2.4</v>
      </c>
      <c r="EA29">
        <v>2</v>
      </c>
      <c r="EB29">
        <v>1.4781599999999999</v>
      </c>
    </row>
    <row r="30" spans="1:132" ht="18">
      <c r="A30" s="14" t="s">
        <v>140</v>
      </c>
      <c r="B30" s="14">
        <v>3</v>
      </c>
      <c r="C30" s="14" t="s">
        <v>141</v>
      </c>
      <c r="D30" s="14" t="s">
        <v>142</v>
      </c>
      <c r="E30" s="14" t="s">
        <v>143</v>
      </c>
      <c r="F30" s="15">
        <v>5000</v>
      </c>
      <c r="G30" s="15">
        <v>3.6989700043360187</v>
      </c>
      <c r="H30" s="15">
        <v>4851</v>
      </c>
      <c r="I30" s="15">
        <v>133</v>
      </c>
      <c r="J30" s="16"/>
      <c r="K30" s="16">
        <v>1</v>
      </c>
      <c r="L30" s="17">
        <v>0.13226113638768383</v>
      </c>
      <c r="M30" s="18">
        <v>100</v>
      </c>
      <c r="N30" s="18">
        <v>73</v>
      </c>
      <c r="O30" s="18">
        <v>0.91744311002468082</v>
      </c>
      <c r="P30" s="18">
        <v>3</v>
      </c>
      <c r="Q30" s="18">
        <f t="shared" si="15"/>
        <v>2.6666666666666665</v>
      </c>
      <c r="R30" s="18">
        <v>100</v>
      </c>
      <c r="S30" s="18">
        <v>5</v>
      </c>
      <c r="T30" s="19">
        <v>16843</v>
      </c>
      <c r="U30" s="19">
        <v>4.2264194486486026</v>
      </c>
      <c r="V30" s="20">
        <v>48200</v>
      </c>
      <c r="W30" s="20">
        <v>4.6830470382388496</v>
      </c>
      <c r="X30" s="20">
        <v>0.52562704471101418</v>
      </c>
      <c r="Y30" s="20"/>
      <c r="Z30" s="20"/>
      <c r="AA30" s="20">
        <v>0.40313725490000002</v>
      </c>
      <c r="AB30" s="20">
        <v>514</v>
      </c>
      <c r="AC30" s="20"/>
      <c r="AD30" s="21">
        <v>7303</v>
      </c>
      <c r="AE30" s="21">
        <f t="shared" si="0"/>
        <v>0.19318061580785101</v>
      </c>
      <c r="AF30" s="21">
        <f t="shared" si="14"/>
        <v>3.8635013006414503</v>
      </c>
      <c r="AG30" s="22">
        <v>7.0177758967305048E-2</v>
      </c>
      <c r="AH30" s="22"/>
      <c r="AI30" s="22">
        <v>1.483534398</v>
      </c>
      <c r="AJ30" s="23">
        <v>91700</v>
      </c>
      <c r="AK30" s="23">
        <f t="shared" si="10"/>
        <v>4.9623693356700214</v>
      </c>
      <c r="AL30" s="24">
        <v>0.56599905900000003</v>
      </c>
      <c r="AM30" s="22">
        <f>13646+23534</f>
        <v>37180</v>
      </c>
      <c r="AN30" s="22">
        <f t="shared" si="4"/>
        <v>0.9834938101788171</v>
      </c>
      <c r="AO30" s="23">
        <v>2.0162645339068485E-2</v>
      </c>
      <c r="AP30" s="33">
        <v>6.11234E-3</v>
      </c>
      <c r="AQ30" s="23">
        <v>-0.21379249605262821</v>
      </c>
      <c r="AR30" s="23">
        <v>37804</v>
      </c>
      <c r="AS30" s="23">
        <v>4.5775377544938367</v>
      </c>
      <c r="AT30" s="23">
        <v>4.5733938349225207</v>
      </c>
      <c r="AU30" s="22">
        <v>0.97799999999999998</v>
      </c>
      <c r="AV30" s="22">
        <v>0.79246821000000001</v>
      </c>
      <c r="AW30" s="22">
        <v>18.2</v>
      </c>
      <c r="AX30" s="22">
        <v>17</v>
      </c>
      <c r="AY30" s="22">
        <v>1</v>
      </c>
      <c r="AZ30" s="24">
        <v>29758</v>
      </c>
      <c r="BA30" s="24">
        <f t="shared" si="5"/>
        <v>4.4736037394359522</v>
      </c>
      <c r="BB30" s="24">
        <v>17382</v>
      </c>
      <c r="BC30" s="24">
        <f t="shared" si="6"/>
        <v>4.2400997455874059</v>
      </c>
      <c r="BD30" s="24">
        <v>12376</v>
      </c>
      <c r="BE30" s="23">
        <v>600</v>
      </c>
      <c r="BF30" s="23">
        <f t="shared" ref="BF30:BF40" si="16">STDEVP(BE29:BE30)</f>
        <v>974.5</v>
      </c>
      <c r="BG30" s="23">
        <v>-1.4447739065974796</v>
      </c>
      <c r="BH30" s="23">
        <v>1.5871336366522062E-2</v>
      </c>
      <c r="BI30" s="23">
        <v>-3.6026171718520496E-2</v>
      </c>
      <c r="BJ30" s="23">
        <v>2.8073292118489041E-2</v>
      </c>
      <c r="BK30" s="23">
        <v>-1.4405501780907477</v>
      </c>
      <c r="BL30" s="23">
        <v>-1349</v>
      </c>
      <c r="BM30" s="22">
        <v>2450</v>
      </c>
      <c r="BN30" s="22">
        <f t="shared" ref="BN30:BN39" si="17">STDEVP(BM29:BM30)</f>
        <v>421.5</v>
      </c>
      <c r="BO30" s="22">
        <v>3.3891660843645326</v>
      </c>
      <c r="BP30" s="22">
        <v>8.2330801801196313E-2</v>
      </c>
      <c r="BQ30" s="22">
        <v>1.647103274661716E-2</v>
      </c>
      <c r="BR30" s="22">
        <v>1.6965240670905143E-2</v>
      </c>
      <c r="BS30" s="22">
        <v>-814</v>
      </c>
      <c r="BT30" s="22">
        <v>2.9106244048892012</v>
      </c>
      <c r="BU30" s="22">
        <v>2.1532113003914929E-2</v>
      </c>
      <c r="BV30" s="23">
        <v>1575</v>
      </c>
      <c r="BW30" s="22">
        <v>9722</v>
      </c>
      <c r="BX30" s="22">
        <v>24.94</v>
      </c>
      <c r="BY30" s="22">
        <v>1.3968964491425238</v>
      </c>
      <c r="BZ30" s="25">
        <v>6.9009858551221742E-2</v>
      </c>
      <c r="CA30" s="23">
        <v>2.7759121499224668</v>
      </c>
      <c r="CB30" s="23">
        <v>277.59121499224671</v>
      </c>
      <c r="CC30" s="23">
        <v>2.4434057177599002</v>
      </c>
      <c r="CD30" s="23">
        <v>3.9910305202485357</v>
      </c>
      <c r="CE30" s="23">
        <v>2.5345829915053892</v>
      </c>
      <c r="CF30" s="23">
        <v>1.3574635241301909</v>
      </c>
      <c r="CG30" s="23">
        <f t="shared" si="7"/>
        <v>0.30561790257927268</v>
      </c>
      <c r="CH30" s="26">
        <v>13.29</v>
      </c>
      <c r="CI30" s="26">
        <v>18.309999999999999</v>
      </c>
      <c r="CJ30" s="26">
        <v>1.1235249809427319</v>
      </c>
      <c r="CK30" s="26">
        <v>1.2626883443016965</v>
      </c>
      <c r="CL30" s="26">
        <v>-0.27416712179137082</v>
      </c>
      <c r="CM30" s="27">
        <v>16.030268199233717</v>
      </c>
      <c r="CN30" s="27">
        <v>-0.29117917128326054</v>
      </c>
      <c r="CQ30" s="27">
        <v>102.09153846153851</v>
      </c>
      <c r="CR30" s="27">
        <v>-0.11911486040268011</v>
      </c>
      <c r="CS30" s="27">
        <v>0.9859003831417622</v>
      </c>
      <c r="CT30" s="27">
        <v>0.92888888888888899</v>
      </c>
      <c r="CU30" s="27">
        <v>6.1376010559312889E-2</v>
      </c>
      <c r="CV30" s="27">
        <v>1.140877862595419</v>
      </c>
      <c r="CW30" s="27">
        <v>2.0572391532349976</v>
      </c>
      <c r="CX30" s="28">
        <v>1.07</v>
      </c>
      <c r="CY30" s="28">
        <v>0.66</v>
      </c>
      <c r="CZ30" s="29">
        <v>18.886297710000001</v>
      </c>
      <c r="DA30" s="27">
        <v>-0.40978411635852152</v>
      </c>
      <c r="DB30" s="27">
        <v>266.87708664986224</v>
      </c>
      <c r="DC30" s="27">
        <v>2.6347679627304119</v>
      </c>
      <c r="DD30" s="27">
        <v>1</v>
      </c>
      <c r="DE30" s="27">
        <v>1.9</v>
      </c>
      <c r="DF30" s="27">
        <v>94.2</v>
      </c>
      <c r="DG30" s="28">
        <v>4.5454201815823172</v>
      </c>
      <c r="DH30" s="27">
        <v>0.93801999999999996</v>
      </c>
      <c r="DI30" s="27">
        <v>4.9000000000000004</v>
      </c>
      <c r="DJ30" s="27">
        <v>2.9</v>
      </c>
      <c r="DK30" s="27">
        <v>2.1</v>
      </c>
      <c r="DL30" s="27">
        <v>1.3035848693861207E-2</v>
      </c>
      <c r="DM30" s="27">
        <v>0.73780000000000001</v>
      </c>
      <c r="DN30" s="28">
        <v>0.95269999999999999</v>
      </c>
      <c r="DO30" s="28">
        <v>-0.15172290980322323</v>
      </c>
      <c r="DP30" s="28">
        <f t="shared" ref="DP30:DP40" si="18">(DM30-DM29)/DM29</f>
        <v>-7.0780856423173832E-2</v>
      </c>
      <c r="DQ30" s="27">
        <v>0.11370000000000002</v>
      </c>
      <c r="DR30" s="27">
        <v>2.6867542601332471E-2</v>
      </c>
      <c r="DS30" s="27">
        <v>3.2347817198611614E-2</v>
      </c>
      <c r="DT30" s="27">
        <v>3.9305854754660308E-2</v>
      </c>
      <c r="DU30" s="30">
        <v>5.5230399999999999</v>
      </c>
      <c r="DV30">
        <v>0.3</v>
      </c>
      <c r="DW30">
        <v>2.6</v>
      </c>
      <c r="DX30">
        <v>88</v>
      </c>
      <c r="DY30">
        <v>85.1</v>
      </c>
      <c r="DZ30">
        <v>2</v>
      </c>
      <c r="EA30">
        <v>1.5</v>
      </c>
      <c r="EB30">
        <v>1.913224</v>
      </c>
    </row>
    <row r="31" spans="1:132" ht="18">
      <c r="A31" s="14" t="s">
        <v>140</v>
      </c>
      <c r="B31" s="14">
        <v>4</v>
      </c>
      <c r="C31" s="14" t="s">
        <v>141</v>
      </c>
      <c r="D31" s="14" t="s">
        <v>142</v>
      </c>
      <c r="E31" s="14" t="s">
        <v>143</v>
      </c>
      <c r="F31" s="15">
        <v>5701</v>
      </c>
      <c r="G31" s="15">
        <v>3.7559510410041321</v>
      </c>
      <c r="H31" s="15">
        <v>4417</v>
      </c>
      <c r="I31" s="15">
        <v>169</v>
      </c>
      <c r="J31" s="16">
        <v>1115</v>
      </c>
      <c r="K31" s="16">
        <v>1</v>
      </c>
      <c r="L31" s="17">
        <v>0.1552475355372801</v>
      </c>
      <c r="M31" s="18">
        <v>100</v>
      </c>
      <c r="N31" s="18">
        <v>73</v>
      </c>
      <c r="O31" s="18">
        <v>0.91744311002468082</v>
      </c>
      <c r="P31" s="18">
        <v>3</v>
      </c>
      <c r="Q31" s="18">
        <f t="shared" si="15"/>
        <v>2.6666666666666665</v>
      </c>
      <c r="R31" s="18">
        <v>100</v>
      </c>
      <c r="S31" s="18">
        <v>5</v>
      </c>
      <c r="T31" s="19">
        <v>13930</v>
      </c>
      <c r="U31" s="19">
        <v>4.1439511164239633</v>
      </c>
      <c r="V31" s="20">
        <v>36900</v>
      </c>
      <c r="W31" s="20">
        <v>4.5670263661590607</v>
      </c>
      <c r="X31" s="20">
        <v>0.44673123486682809</v>
      </c>
      <c r="Y31" s="20">
        <v>0.55837341500000004</v>
      </c>
      <c r="Z31" s="20">
        <f t="shared" si="3"/>
        <v>-0.25307526730762375</v>
      </c>
      <c r="AA31" s="20">
        <v>0.58925619829999998</v>
      </c>
      <c r="AB31" s="20">
        <v>713</v>
      </c>
      <c r="AC31" s="20">
        <v>8939</v>
      </c>
      <c r="AD31" s="21">
        <v>6818</v>
      </c>
      <c r="AE31" s="21">
        <f t="shared" si="0"/>
        <v>0.18566526877621045</v>
      </c>
      <c r="AF31" s="21">
        <f t="shared" si="14"/>
        <v>3.8336569968928722</v>
      </c>
      <c r="AG31" s="22">
        <v>7.4778062197048092E-2</v>
      </c>
      <c r="AH31" s="22"/>
      <c r="AI31" s="22">
        <v>2.3124495829999998</v>
      </c>
      <c r="AJ31" s="23">
        <v>82600</v>
      </c>
      <c r="AK31" s="23">
        <f t="shared" si="10"/>
        <v>4.916980047320382</v>
      </c>
      <c r="AL31" s="24">
        <v>0.56394478000000003</v>
      </c>
      <c r="AM31" s="22">
        <f>16495+9070</f>
        <v>25565</v>
      </c>
      <c r="AN31" s="22">
        <f t="shared" si="4"/>
        <v>0.69617667883012913</v>
      </c>
      <c r="AO31" s="23">
        <v>6.4653252904740693E-2</v>
      </c>
      <c r="AP31" s="33">
        <v>1.818225E-2</v>
      </c>
      <c r="AQ31" s="23">
        <v>0.25964762487721865</v>
      </c>
      <c r="AR31" s="23">
        <v>36722</v>
      </c>
      <c r="AS31" s="23">
        <v>4.5649263262685915</v>
      </c>
      <c r="AT31" s="23">
        <v>4.5775377544938367</v>
      </c>
      <c r="AU31" s="22">
        <v>0.97899999999999998</v>
      </c>
      <c r="AV31" s="22">
        <v>0.64399032</v>
      </c>
      <c r="AW31" s="22">
        <v>25.8</v>
      </c>
      <c r="AX31" s="22">
        <v>18.2</v>
      </c>
      <c r="AY31" s="22">
        <v>1</v>
      </c>
      <c r="AZ31" s="24">
        <v>24701</v>
      </c>
      <c r="BA31" s="24">
        <f t="shared" si="5"/>
        <v>4.3927145356762951</v>
      </c>
      <c r="BB31" s="24">
        <v>13412</v>
      </c>
      <c r="BC31" s="24">
        <f t="shared" si="6"/>
        <v>4.1274935447567822</v>
      </c>
      <c r="BD31" s="24">
        <v>11289</v>
      </c>
      <c r="BE31" s="23">
        <v>1597</v>
      </c>
      <c r="BF31" s="23">
        <f t="shared" si="16"/>
        <v>498.5</v>
      </c>
      <c r="BG31" s="23">
        <v>1.6616666666666666</v>
      </c>
      <c r="BH31" s="23">
        <v>4.3488916725668535E-2</v>
      </c>
      <c r="BI31" s="23">
        <v>1.5871336366522062E-2</v>
      </c>
      <c r="BJ31" s="23">
        <v>2.8073292118489041E-2</v>
      </c>
      <c r="BK31" s="23">
        <v>1.7400916798286219</v>
      </c>
      <c r="BL31" s="23">
        <v>600</v>
      </c>
      <c r="BM31" s="22">
        <v>3502</v>
      </c>
      <c r="BN31" s="22">
        <f t="shared" si="17"/>
        <v>526</v>
      </c>
      <c r="BO31" s="22">
        <v>3.5443161417474274</v>
      </c>
      <c r="BP31" s="22">
        <v>0.14177563661390227</v>
      </c>
      <c r="BQ31" s="22">
        <v>2.9722417406352963E-2</v>
      </c>
      <c r="BR31" s="22">
        <v>1.647103274661716E-2</v>
      </c>
      <c r="BS31" s="22">
        <v>-1741</v>
      </c>
      <c r="BT31" s="22">
        <v>3.2407987711173312</v>
      </c>
      <c r="BU31" s="22">
        <v>4.7410271771689994E-2</v>
      </c>
      <c r="BV31" s="23">
        <v>3622</v>
      </c>
      <c r="BW31" s="22">
        <v>8952</v>
      </c>
      <c r="BX31" s="22">
        <v>35.29</v>
      </c>
      <c r="BY31" s="22">
        <v>1.5476516583599691</v>
      </c>
      <c r="BZ31" s="25">
        <v>0.41499599037690449</v>
      </c>
      <c r="CA31" s="23">
        <v>2.5345829915053892</v>
      </c>
      <c r="CB31" s="23">
        <v>253.45829915053892</v>
      </c>
      <c r="CC31" s="23">
        <v>2.4039065161799544</v>
      </c>
      <c r="CD31" s="23">
        <v>2.7759121499224668</v>
      </c>
      <c r="CE31" s="23">
        <v>4.6043257728450531</v>
      </c>
      <c r="CF31" s="23">
        <v>1.6436049157942649</v>
      </c>
      <c r="CG31" s="23">
        <f t="shared" si="7"/>
        <v>0.49689194889284755</v>
      </c>
      <c r="CH31" s="26">
        <v>12.07</v>
      </c>
      <c r="CI31" s="26">
        <v>13.29</v>
      </c>
      <c r="CJ31" s="26">
        <v>1.0817072700973491</v>
      </c>
      <c r="CK31" s="26">
        <v>1.1235249809427319</v>
      </c>
      <c r="CL31" s="26">
        <v>-9.1798344620014974E-2</v>
      </c>
      <c r="CM31" s="27">
        <v>13.248115384615385</v>
      </c>
      <c r="CN31" s="27">
        <v>-0.17355622376619531</v>
      </c>
      <c r="CQ31" s="27">
        <v>81.715444015443992</v>
      </c>
      <c r="CR31" s="27">
        <v>-0.1995865157206041</v>
      </c>
      <c r="CS31" s="27">
        <v>0.91873076923076902</v>
      </c>
      <c r="CT31" s="27">
        <v>0.9859003831417622</v>
      </c>
      <c r="CU31" s="27">
        <v>-6.8130223965370842E-2</v>
      </c>
      <c r="CV31" s="27">
        <v>1.0315769230769232</v>
      </c>
      <c r="CW31" s="27">
        <v>2.0135016181765906</v>
      </c>
      <c r="CX31" s="28">
        <v>0.94</v>
      </c>
      <c r="CY31" s="28">
        <v>1.07</v>
      </c>
      <c r="CZ31" s="29">
        <v>14.03142308</v>
      </c>
      <c r="DA31" s="27">
        <v>-0.25705803776615366</v>
      </c>
      <c r="DB31" s="27">
        <v>1.72976924253802</v>
      </c>
      <c r="DC31" s="27">
        <v>266.87708664986224</v>
      </c>
      <c r="DD31" s="27">
        <v>1</v>
      </c>
      <c r="DE31" s="27">
        <v>1.2</v>
      </c>
      <c r="DF31" s="27">
        <v>94.8</v>
      </c>
      <c r="DG31" s="28">
        <v>4.5517694092609764</v>
      </c>
      <c r="DH31" s="27">
        <v>0.94384000000000001</v>
      </c>
      <c r="DI31" s="27">
        <v>4.5</v>
      </c>
      <c r="DJ31" s="27">
        <v>2.7</v>
      </c>
      <c r="DK31" s="27">
        <v>1.5</v>
      </c>
      <c r="DL31" s="27">
        <v>8.4498661866614921E-3</v>
      </c>
      <c r="DM31" s="27">
        <v>0.84399999999999997</v>
      </c>
      <c r="DN31" s="28">
        <v>0.79300000000000004</v>
      </c>
      <c r="DO31" s="28">
        <v>-0.167628844337147</v>
      </c>
      <c r="DP31" s="28">
        <f t="shared" si="18"/>
        <v>0.14394144754676058</v>
      </c>
      <c r="DQ31" s="27">
        <v>0.11509999999999998</v>
      </c>
      <c r="DR31" s="27">
        <v>3.2347817198611614E-2</v>
      </c>
      <c r="DS31" s="27">
        <v>2.4490842135800685E-2</v>
      </c>
      <c r="DT31" s="27">
        <v>2.6867542601332471E-2</v>
      </c>
      <c r="DU31" s="30">
        <v>5.0767810000000004</v>
      </c>
      <c r="DV31">
        <v>-0.3</v>
      </c>
      <c r="DW31">
        <v>0.7</v>
      </c>
      <c r="DX31">
        <v>90.9</v>
      </c>
      <c r="DY31">
        <v>87.4</v>
      </c>
      <c r="DZ31">
        <v>1.6</v>
      </c>
      <c r="EA31">
        <v>1</v>
      </c>
      <c r="EB31">
        <v>2.1595819999999999</v>
      </c>
    </row>
    <row r="32" spans="1:132" ht="18">
      <c r="A32" s="14" t="s">
        <v>140</v>
      </c>
      <c r="B32" s="14">
        <v>5</v>
      </c>
      <c r="C32" s="14" t="s">
        <v>141</v>
      </c>
      <c r="D32" s="14" t="s">
        <v>142</v>
      </c>
      <c r="E32" s="14" t="s">
        <v>143</v>
      </c>
      <c r="F32" s="15">
        <v>12066</v>
      </c>
      <c r="G32" s="15">
        <v>4.0815633209803854</v>
      </c>
      <c r="H32" s="15">
        <v>10721</v>
      </c>
      <c r="I32" s="15">
        <v>76</v>
      </c>
      <c r="J32" s="16">
        <v>1269</v>
      </c>
      <c r="K32" s="16">
        <v>1</v>
      </c>
      <c r="L32" s="17">
        <v>0.21588448945268468</v>
      </c>
      <c r="M32" s="18">
        <v>100</v>
      </c>
      <c r="N32" s="18">
        <v>73</v>
      </c>
      <c r="O32" s="18">
        <v>0.91744311002468082</v>
      </c>
      <c r="P32" s="18">
        <v>3</v>
      </c>
      <c r="Q32" s="18">
        <f t="shared" si="15"/>
        <v>2.6666666666666665</v>
      </c>
      <c r="R32" s="18">
        <v>100</v>
      </c>
      <c r="S32" s="18">
        <v>5</v>
      </c>
      <c r="T32" s="19">
        <v>16304</v>
      </c>
      <c r="U32" s="19">
        <v>4.2122941666623515</v>
      </c>
      <c r="V32" s="20">
        <v>48200</v>
      </c>
      <c r="W32" s="20">
        <v>4.6830470382388496</v>
      </c>
      <c r="X32" s="20">
        <v>0.45471698113207548</v>
      </c>
      <c r="Y32" s="20">
        <v>0.27242333060000001</v>
      </c>
      <c r="Z32" s="20">
        <f t="shared" si="3"/>
        <v>-0.56475570176308909</v>
      </c>
      <c r="AA32" s="20">
        <v>0.55319148939999996</v>
      </c>
      <c r="AB32" s="20">
        <v>962</v>
      </c>
      <c r="AC32" s="20">
        <v>8963</v>
      </c>
      <c r="AD32" s="21">
        <v>7440</v>
      </c>
      <c r="AE32" s="21">
        <f t="shared" si="0"/>
        <v>0.13311624411801543</v>
      </c>
      <c r="AF32" s="21">
        <f t="shared" si="14"/>
        <v>3.8715729355458786</v>
      </c>
      <c r="AG32" s="22">
        <v>5.462417920595445E-2</v>
      </c>
      <c r="AH32" s="22"/>
      <c r="AI32" s="22">
        <v>2.4200451329999999</v>
      </c>
      <c r="AJ32" s="23">
        <v>106000</v>
      </c>
      <c r="AK32" s="23">
        <f t="shared" si="10"/>
        <v>5.0253058652647704</v>
      </c>
      <c r="AL32" s="24">
        <v>0.56306119600000004</v>
      </c>
      <c r="AM32" s="22">
        <f>27525+15515</f>
        <v>43040</v>
      </c>
      <c r="AN32" s="22">
        <f t="shared" si="4"/>
        <v>0.77007031543540105</v>
      </c>
      <c r="AO32" s="23">
        <v>5.8122668876916701E-2</v>
      </c>
      <c r="AP32" s="33">
        <v>1.9736066E-2</v>
      </c>
      <c r="AQ32" s="23">
        <v>0.29526058882196532</v>
      </c>
      <c r="AR32" s="23">
        <v>55891</v>
      </c>
      <c r="AS32" s="23">
        <v>4.7473418800685208</v>
      </c>
      <c r="AT32" s="23">
        <v>4.5649263262685915</v>
      </c>
      <c r="AU32" s="22">
        <v>1.7250000000000001</v>
      </c>
      <c r="AV32" s="22">
        <v>1.145669598</v>
      </c>
      <c r="AW32" s="22">
        <v>31.1</v>
      </c>
      <c r="AX32" s="22">
        <v>25.8</v>
      </c>
      <c r="AY32" s="22">
        <v>1</v>
      </c>
      <c r="AZ32" s="24">
        <v>28956</v>
      </c>
      <c r="BA32" s="24">
        <f t="shared" si="5"/>
        <v>4.4617385679564103</v>
      </c>
      <c r="BB32" s="24">
        <v>15275</v>
      </c>
      <c r="BC32" s="24">
        <f t="shared" si="6"/>
        <v>4.1839812189145915</v>
      </c>
      <c r="BD32" s="24">
        <v>13681</v>
      </c>
      <c r="BE32" s="23">
        <v>1683</v>
      </c>
      <c r="BF32" s="23">
        <f t="shared" si="16"/>
        <v>43</v>
      </c>
      <c r="BG32" s="23">
        <v>5.3850970569818413E-2</v>
      </c>
      <c r="BH32" s="23">
        <v>3.0112182641212359E-2</v>
      </c>
      <c r="BI32" s="23">
        <v>4.3488916725668535E-2</v>
      </c>
      <c r="BJ32" s="23">
        <v>2.8073292118489041E-2</v>
      </c>
      <c r="BK32" s="23">
        <v>-0.3075894984654976</v>
      </c>
      <c r="BL32" s="23">
        <v>1597</v>
      </c>
      <c r="BM32" s="22">
        <v>4203</v>
      </c>
      <c r="BN32" s="22">
        <f t="shared" si="17"/>
        <v>350.5</v>
      </c>
      <c r="BO32" s="22">
        <v>3.623559390005437</v>
      </c>
      <c r="BP32" s="22">
        <v>0.1451512639867385</v>
      </c>
      <c r="BQ32" s="22">
        <v>1.6878136864181131E-3</v>
      </c>
      <c r="BR32" s="22">
        <v>2.9722417406352963E-2</v>
      </c>
      <c r="BS32" s="22">
        <v>-14730</v>
      </c>
      <c r="BT32" s="22">
        <v>4.1682027468426313</v>
      </c>
      <c r="BU32" s="22">
        <v>0.26354869299171602</v>
      </c>
      <c r="BV32" s="23">
        <v>4531</v>
      </c>
      <c r="BW32" s="22">
        <v>19801</v>
      </c>
      <c r="BX32" s="22">
        <v>40.659999999999997</v>
      </c>
      <c r="BY32" s="22">
        <v>1.6091673743020198</v>
      </c>
      <c r="BZ32" s="25">
        <v>0.15216775290450546</v>
      </c>
      <c r="CA32" s="23">
        <v>4.6043257728450531</v>
      </c>
      <c r="CB32" s="23">
        <v>460.43257728450533</v>
      </c>
      <c r="CC32" s="23">
        <v>2.6631660439637668</v>
      </c>
      <c r="CD32" s="23">
        <v>2.5345829915053892</v>
      </c>
      <c r="CE32" s="23">
        <v>3.947932438714675</v>
      </c>
      <c r="CF32" s="23">
        <v>1.358041032428855</v>
      </c>
      <c r="CG32" s="23">
        <f t="shared" si="7"/>
        <v>0.30604324401792055</v>
      </c>
      <c r="CH32" s="26">
        <v>11.56</v>
      </c>
      <c r="CI32" s="26">
        <v>12.07</v>
      </c>
      <c r="CJ32" s="26">
        <v>1.0629578340845103</v>
      </c>
      <c r="CK32" s="26">
        <v>1.0817072700973491</v>
      </c>
      <c r="CL32" s="26">
        <v>-4.2253521126760542E-2</v>
      </c>
      <c r="CM32" s="27">
        <v>13.296884615384608</v>
      </c>
      <c r="CN32" s="27">
        <v>3.681220260646025E-3</v>
      </c>
      <c r="CQ32" s="27">
        <v>67.989575289575299</v>
      </c>
      <c r="CR32" s="27">
        <v>-0.167971536975</v>
      </c>
      <c r="CS32" s="27">
        <v>0.84238461538461584</v>
      </c>
      <c r="CT32" s="27">
        <v>0.91873076923076902</v>
      </c>
      <c r="CU32" s="27">
        <v>-8.3099593921379125E-2</v>
      </c>
      <c r="CV32" s="27">
        <v>0.92230769230769172</v>
      </c>
      <c r="CW32" s="27">
        <v>1.9648758307920116</v>
      </c>
      <c r="CX32" s="28">
        <v>0.56000000000000005</v>
      </c>
      <c r="CY32" s="28">
        <v>0.94</v>
      </c>
      <c r="CZ32" s="29">
        <v>16.52657692</v>
      </c>
      <c r="DA32" s="27">
        <v>0.17782614249273998</v>
      </c>
      <c r="DB32" s="27">
        <v>1.322681365714484</v>
      </c>
      <c r="DC32" s="27">
        <v>1.72976924253802</v>
      </c>
      <c r="DD32" s="27">
        <v>1</v>
      </c>
      <c r="DE32" s="27">
        <v>0.7</v>
      </c>
      <c r="DF32" s="27">
        <v>95.1</v>
      </c>
      <c r="DG32" s="28">
        <v>4.5549289695513444</v>
      </c>
      <c r="DH32" s="27">
        <v>0.95021</v>
      </c>
      <c r="DI32" s="27">
        <v>4.5</v>
      </c>
      <c r="DJ32" s="27">
        <v>3.5</v>
      </c>
      <c r="DK32" s="27">
        <v>1.8</v>
      </c>
      <c r="DL32" s="27">
        <v>7.6672365931182819E-3</v>
      </c>
      <c r="DM32" s="27">
        <v>0.75770000000000004</v>
      </c>
      <c r="DN32" s="28">
        <v>0.74250000000000005</v>
      </c>
      <c r="DO32" s="28">
        <v>-6.3682219419924316E-2</v>
      </c>
      <c r="DP32" s="28">
        <f t="shared" si="18"/>
        <v>-0.10225118483412314</v>
      </c>
      <c r="DQ32" s="27">
        <v>9.7799999999999998E-2</v>
      </c>
      <c r="DR32" s="27">
        <v>2.4490842135800685E-2</v>
      </c>
      <c r="DS32" s="27">
        <v>2.77430650961079E-2</v>
      </c>
      <c r="DT32" s="27">
        <v>3.2347817198611614E-2</v>
      </c>
      <c r="DU32" s="30">
        <v>4.6174650000000002</v>
      </c>
      <c r="DV32">
        <v>-0.5</v>
      </c>
      <c r="DW32">
        <v>-0.4</v>
      </c>
      <c r="DX32">
        <v>93.7</v>
      </c>
      <c r="DY32">
        <v>89.8</v>
      </c>
      <c r="DZ32">
        <v>1.6</v>
      </c>
      <c r="EA32">
        <v>1.7</v>
      </c>
      <c r="EB32">
        <v>2.2385109999999999</v>
      </c>
    </row>
    <row r="33" spans="1:132" ht="18">
      <c r="A33" s="14" t="s">
        <v>140</v>
      </c>
      <c r="B33" s="14">
        <v>6</v>
      </c>
      <c r="C33" s="14" t="s">
        <v>141</v>
      </c>
      <c r="D33" s="14" t="s">
        <v>142</v>
      </c>
      <c r="E33" s="14" t="s">
        <v>143</v>
      </c>
      <c r="F33" s="15">
        <v>6817</v>
      </c>
      <c r="G33" s="15">
        <v>3.8335932939984563</v>
      </c>
      <c r="H33" s="15">
        <v>5866</v>
      </c>
      <c r="I33" s="15">
        <v>34</v>
      </c>
      <c r="J33" s="16">
        <v>917</v>
      </c>
      <c r="K33" s="16">
        <v>1</v>
      </c>
      <c r="L33" s="17">
        <v>0.1326832496399237</v>
      </c>
      <c r="M33" s="18">
        <v>100</v>
      </c>
      <c r="N33" s="18">
        <v>73</v>
      </c>
      <c r="O33" s="18">
        <v>0.91744311002468082</v>
      </c>
      <c r="P33" s="18">
        <v>3</v>
      </c>
      <c r="Q33" s="18">
        <f t="shared" si="15"/>
        <v>2.6666666666666665</v>
      </c>
      <c r="R33" s="18">
        <v>100</v>
      </c>
      <c r="S33" s="18">
        <v>5</v>
      </c>
      <c r="T33" s="19">
        <v>18032</v>
      </c>
      <c r="U33" s="19">
        <v>4.256043898702031</v>
      </c>
      <c r="V33" s="20">
        <v>50000</v>
      </c>
      <c r="W33" s="20">
        <v>4.6989700043360187</v>
      </c>
      <c r="X33" s="20">
        <v>0.47080979284369112</v>
      </c>
      <c r="Y33" s="20">
        <v>0.3045047327</v>
      </c>
      <c r="Z33" s="20">
        <f t="shared" si="3"/>
        <v>-0.51640595304909687</v>
      </c>
      <c r="AA33" s="20">
        <v>0.62506610259999995</v>
      </c>
      <c r="AB33" s="20">
        <v>1182</v>
      </c>
      <c r="AC33" s="20">
        <v>9619</v>
      </c>
      <c r="AD33" s="21">
        <v>7911</v>
      </c>
      <c r="AE33" s="21">
        <f t="shared" si="0"/>
        <v>0.15397641013663435</v>
      </c>
      <c r="AF33" s="21">
        <f t="shared" si="14"/>
        <v>3.8982313845130969</v>
      </c>
      <c r="AG33" s="22">
        <v>5.0177118611078673E-2</v>
      </c>
      <c r="AH33" s="22"/>
      <c r="AI33" s="22">
        <v>2.8416859880000001</v>
      </c>
      <c r="AJ33" s="23">
        <v>106200</v>
      </c>
      <c r="AK33" s="23">
        <f t="shared" si="10"/>
        <v>5.0261245167454502</v>
      </c>
      <c r="AL33" s="24">
        <v>0.556800988</v>
      </c>
      <c r="AM33" s="22">
        <f>23945+10612</f>
        <v>34557</v>
      </c>
      <c r="AN33" s="22">
        <f t="shared" si="4"/>
        <v>0.67260305967534739</v>
      </c>
      <c r="AO33" s="23">
        <v>0.14562297359888837</v>
      </c>
      <c r="AP33" s="33">
        <v>2.5736539999999999E-2</v>
      </c>
      <c r="AQ33" s="23">
        <v>0.41055016028744346</v>
      </c>
      <c r="AR33" s="23">
        <v>51378</v>
      </c>
      <c r="AS33" s="23">
        <v>4.7107771944054262</v>
      </c>
      <c r="AT33" s="23">
        <v>4.7473418800685208</v>
      </c>
      <c r="AU33" s="22">
        <v>1.004</v>
      </c>
      <c r="AV33" s="22">
        <v>0.83039058320000003</v>
      </c>
      <c r="AW33" s="22">
        <v>47.8</v>
      </c>
      <c r="AX33" s="22">
        <v>31.1</v>
      </c>
      <c r="AY33" s="22">
        <v>1</v>
      </c>
      <c r="AZ33" s="24">
        <v>32385</v>
      </c>
      <c r="BA33" s="24">
        <f t="shared" si="5"/>
        <v>4.5103439013899118</v>
      </c>
      <c r="BB33" s="24">
        <v>16352</v>
      </c>
      <c r="BC33" s="24">
        <f t="shared" si="6"/>
        <v>4.2135708784546191</v>
      </c>
      <c r="BD33" s="24">
        <v>16033</v>
      </c>
      <c r="BE33" s="23">
        <v>4716</v>
      </c>
      <c r="BF33" s="23">
        <f t="shared" si="16"/>
        <v>1516.5</v>
      </c>
      <c r="BG33" s="23">
        <v>1.8021390374331552</v>
      </c>
      <c r="BH33" s="23">
        <v>9.1790260422749043E-2</v>
      </c>
      <c r="BI33" s="23">
        <v>3.0112182641212359E-2</v>
      </c>
      <c r="BJ33" s="23">
        <v>2.8073292118489041E-2</v>
      </c>
      <c r="BK33" s="23">
        <v>2.0482765569149537</v>
      </c>
      <c r="BL33" s="23">
        <v>1683</v>
      </c>
      <c r="BM33" s="22">
        <v>4283</v>
      </c>
      <c r="BN33" s="22">
        <f t="shared" si="17"/>
        <v>40</v>
      </c>
      <c r="BO33" s="22">
        <v>3.6317480743965693</v>
      </c>
      <c r="BP33" s="22">
        <v>0.13225258607379961</v>
      </c>
      <c r="BQ33" s="22">
        <v>6.4493389564694451E-3</v>
      </c>
      <c r="BR33" s="22">
        <v>1.6878136864181131E-3</v>
      </c>
      <c r="BS33" s="22">
        <v>3186</v>
      </c>
      <c r="BT33" s="22" t="e">
        <v>#NUM!</v>
      </c>
      <c r="BU33" s="22">
        <v>-6.2010977461170153E-2</v>
      </c>
      <c r="BV33" s="23">
        <v>4544</v>
      </c>
      <c r="BW33" s="22">
        <v>13968</v>
      </c>
      <c r="BX33" s="22">
        <v>62.53</v>
      </c>
      <c r="BY33" s="22">
        <v>1.7960884286806686</v>
      </c>
      <c r="BZ33" s="25">
        <v>0.53787506148548958</v>
      </c>
      <c r="CA33" s="23">
        <v>3.947932438714675</v>
      </c>
      <c r="CB33" s="23">
        <v>394.7932438714675</v>
      </c>
      <c r="CC33" s="23">
        <v>2.5963697119447957</v>
      </c>
      <c r="CD33" s="23">
        <v>4.6043257728450531</v>
      </c>
      <c r="CE33" s="23">
        <v>15.998200940326045</v>
      </c>
      <c r="CF33" s="23">
        <v>1.5763819095477389</v>
      </c>
      <c r="CG33" s="23">
        <f t="shared" si="7"/>
        <v>0.45513229047214021</v>
      </c>
      <c r="CH33" s="26">
        <v>22.5</v>
      </c>
      <c r="CI33" s="26">
        <v>11.56</v>
      </c>
      <c r="CJ33" s="26">
        <v>1.3521825181113625</v>
      </c>
      <c r="CK33" s="26">
        <v>1.0629578340845103</v>
      </c>
      <c r="CL33" s="26">
        <v>0.94636678200692037</v>
      </c>
      <c r="CM33" s="27">
        <v>18.34360153256705</v>
      </c>
      <c r="CN33" s="27">
        <v>0.37954130333231201</v>
      </c>
      <c r="CQ33" s="27">
        <v>77.833846153846167</v>
      </c>
      <c r="CR33" s="27">
        <v>0.14479088628430173</v>
      </c>
      <c r="CS33" s="27">
        <v>0.72605363984674265</v>
      </c>
      <c r="CT33" s="27">
        <v>0.84238461538461584</v>
      </c>
      <c r="CU33" s="27">
        <v>-0.13809722235342442</v>
      </c>
      <c r="CV33" s="27">
        <v>0.78180076628352502</v>
      </c>
      <c r="CW33" s="27">
        <v>1.8930960917710087</v>
      </c>
      <c r="CX33" s="28">
        <v>0.88</v>
      </c>
      <c r="CY33" s="28">
        <v>0.56000000000000005</v>
      </c>
      <c r="CZ33" s="29">
        <v>19.614636019999999</v>
      </c>
      <c r="DA33" s="27">
        <v>0.18685412683753744</v>
      </c>
      <c r="DB33" s="27">
        <v>2.3607257116750975</v>
      </c>
      <c r="DC33" s="27">
        <v>1.322681365714484</v>
      </c>
      <c r="DD33" s="27">
        <v>1</v>
      </c>
      <c r="DE33" s="27">
        <v>-0.1</v>
      </c>
      <c r="DF33" s="27">
        <v>96.7</v>
      </c>
      <c r="DG33" s="28">
        <v>4.5716134024592483</v>
      </c>
      <c r="DH33" s="27">
        <v>0.96782999999999997</v>
      </c>
      <c r="DI33" s="27">
        <v>4.5</v>
      </c>
      <c r="DJ33" s="27">
        <v>2.5</v>
      </c>
      <c r="DK33" s="27">
        <v>1.8</v>
      </c>
      <c r="DL33" s="27">
        <v>1.679984422560547E-2</v>
      </c>
      <c r="DM33" s="27">
        <v>0.6855</v>
      </c>
      <c r="DN33" s="28">
        <v>0.84760000000000002</v>
      </c>
      <c r="DO33" s="28">
        <v>0.14154882154882151</v>
      </c>
      <c r="DP33" s="28">
        <f t="shared" si="18"/>
        <v>-9.5288372706876123E-2</v>
      </c>
      <c r="DQ33" s="27">
        <v>0.10279999999999989</v>
      </c>
      <c r="DR33" s="27">
        <v>2.77430650961079E-2</v>
      </c>
      <c r="DS33" s="27">
        <v>5.0662060808238797E-2</v>
      </c>
      <c r="DT33" s="27">
        <v>2.4490842135800685E-2</v>
      </c>
      <c r="DU33" s="30">
        <v>4.6191050000000002</v>
      </c>
      <c r="DV33">
        <v>-0.9</v>
      </c>
      <c r="DW33">
        <v>-0.7</v>
      </c>
      <c r="DX33">
        <v>96.2</v>
      </c>
      <c r="DY33">
        <v>92.4</v>
      </c>
      <c r="DZ33">
        <v>2.1</v>
      </c>
      <c r="EA33">
        <v>1.9</v>
      </c>
      <c r="EB33">
        <v>2.1588159999999998</v>
      </c>
    </row>
    <row r="34" spans="1:132" ht="18">
      <c r="A34" s="14" t="s">
        <v>140</v>
      </c>
      <c r="B34" s="14">
        <v>7</v>
      </c>
      <c r="C34" s="14" t="s">
        <v>141</v>
      </c>
      <c r="D34" s="14" t="s">
        <v>142</v>
      </c>
      <c r="E34" s="14" t="s">
        <v>143</v>
      </c>
      <c r="F34" s="15">
        <v>10446</v>
      </c>
      <c r="G34" s="15">
        <v>4.0189500215009746</v>
      </c>
      <c r="H34" s="15">
        <v>8290</v>
      </c>
      <c r="I34" s="15">
        <v>0</v>
      </c>
      <c r="J34" s="16">
        <v>2156</v>
      </c>
      <c r="K34" s="16">
        <v>1</v>
      </c>
      <c r="L34" s="17">
        <v>0.19892974805278893</v>
      </c>
      <c r="M34" s="18">
        <v>100</v>
      </c>
      <c r="N34" s="18">
        <v>73</v>
      </c>
      <c r="O34" s="18">
        <v>0.91744311002468082</v>
      </c>
      <c r="P34" s="18">
        <v>3</v>
      </c>
      <c r="Q34" s="18">
        <f t="shared" si="15"/>
        <v>2.6666666666666665</v>
      </c>
      <c r="R34" s="18">
        <v>100</v>
      </c>
      <c r="S34" s="18">
        <v>5</v>
      </c>
      <c r="T34" s="19">
        <v>18369</v>
      </c>
      <c r="U34" s="19">
        <v>4.2640855141553953</v>
      </c>
      <c r="V34" s="20">
        <v>53100</v>
      </c>
      <c r="W34" s="20">
        <v>4.725094521081469</v>
      </c>
      <c r="X34" s="20">
        <v>0.4889502762430939</v>
      </c>
      <c r="Y34" s="20">
        <v>0.34686818320000001</v>
      </c>
      <c r="Z34" s="20">
        <f t="shared" si="3"/>
        <v>-0.45983553438792107</v>
      </c>
      <c r="AA34" s="20">
        <v>0.52320887989999998</v>
      </c>
      <c r="AB34" s="20">
        <v>1037</v>
      </c>
      <c r="AC34" s="20">
        <v>11131</v>
      </c>
      <c r="AD34" s="21">
        <v>9861</v>
      </c>
      <c r="AE34" s="21">
        <f t="shared" si="0"/>
        <v>0.18778922511473786</v>
      </c>
      <c r="AF34" s="21">
        <f t="shared" si="14"/>
        <v>3.9939209588012869</v>
      </c>
      <c r="AG34" s="22">
        <v>5.0522747614785472E-2</v>
      </c>
      <c r="AH34" s="22"/>
      <c r="AI34" s="22">
        <v>1.946144431</v>
      </c>
      <c r="AJ34" s="23">
        <v>108600</v>
      </c>
      <c r="AK34" s="23">
        <f t="shared" si="10"/>
        <v>5.0358298252528284</v>
      </c>
      <c r="AL34" s="24">
        <v>0.55802296600000001</v>
      </c>
      <c r="AM34" s="22">
        <f>22336+13835</f>
        <v>36171</v>
      </c>
      <c r="AN34" s="22">
        <f t="shared" si="4"/>
        <v>0.68882710289272719</v>
      </c>
      <c r="AO34" s="23">
        <v>5.2402940640379127E-2</v>
      </c>
      <c r="AP34" s="33">
        <v>4.0435066999999998E-2</v>
      </c>
      <c r="AQ34" s="23">
        <v>0.60675816706345653</v>
      </c>
      <c r="AR34" s="23">
        <v>52511</v>
      </c>
      <c r="AS34" s="23">
        <v>4.7202502889087787</v>
      </c>
      <c r="AT34" s="23">
        <v>4.7107771944054262</v>
      </c>
      <c r="AU34" s="22">
        <v>1.1779999999999999</v>
      </c>
      <c r="AV34" s="22">
        <v>0.99100367199999995</v>
      </c>
      <c r="AW34" s="22">
        <v>31.8</v>
      </c>
      <c r="AX34" s="22">
        <v>47.8</v>
      </c>
      <c r="AY34" s="22">
        <v>1</v>
      </c>
      <c r="AZ34" s="24">
        <v>32918</v>
      </c>
      <c r="BA34" s="24">
        <f t="shared" si="5"/>
        <v>4.5174334408977739</v>
      </c>
      <c r="BB34" s="24">
        <v>16456</v>
      </c>
      <c r="BC34" s="24">
        <f t="shared" si="6"/>
        <v>4.2163242786866677</v>
      </c>
      <c r="BD34" s="24">
        <v>16462</v>
      </c>
      <c r="BE34" s="23">
        <v>1725</v>
      </c>
      <c r="BF34" s="23">
        <f t="shared" si="16"/>
        <v>1495.5</v>
      </c>
      <c r="BG34" s="23">
        <v>-0.63422391857506366</v>
      </c>
      <c r="BH34" s="23">
        <v>3.2850259945535219E-2</v>
      </c>
      <c r="BI34" s="23">
        <v>9.1790260422749043E-2</v>
      </c>
      <c r="BJ34" s="23">
        <v>2.8073292118489041E-2</v>
      </c>
      <c r="BK34" s="23">
        <v>-0.64211606117860298</v>
      </c>
      <c r="BL34" s="23">
        <v>4716</v>
      </c>
      <c r="BM34" s="22">
        <v>3608</v>
      </c>
      <c r="BN34" s="22">
        <f t="shared" si="17"/>
        <v>337.5</v>
      </c>
      <c r="BO34" s="22">
        <v>3.5572665288699041</v>
      </c>
      <c r="BP34" s="22">
        <v>0.10960568685825384</v>
      </c>
      <c r="BQ34" s="22">
        <v>1.1323449607772887E-2</v>
      </c>
      <c r="BR34" s="22">
        <v>6.4493389564694451E-3</v>
      </c>
      <c r="BS34" s="22">
        <v>-3089</v>
      </c>
      <c r="BT34" s="22">
        <v>3.4898179083014504</v>
      </c>
      <c r="BU34" s="22">
        <v>5.8825769838700463E-2</v>
      </c>
      <c r="BV34" s="23">
        <v>3962</v>
      </c>
      <c r="BW34" s="22">
        <v>16193</v>
      </c>
      <c r="BX34" s="22">
        <v>41.55</v>
      </c>
      <c r="BY34" s="22">
        <v>1.6185710281201298</v>
      </c>
      <c r="BZ34" s="25">
        <v>-0.33551895090356637</v>
      </c>
      <c r="CA34" s="23">
        <v>15.998200940326045</v>
      </c>
      <c r="CB34" s="23">
        <v>1599.8200940326046</v>
      </c>
      <c r="CC34" s="23">
        <v>3.2040711473047567</v>
      </c>
      <c r="CD34" s="23">
        <v>3.947932438714675</v>
      </c>
      <c r="CE34" s="23">
        <v>5.8322610508718871</v>
      </c>
      <c r="CF34" s="23">
        <v>2.0105900151285931</v>
      </c>
      <c r="CG34" s="23">
        <f t="shared" si="7"/>
        <v>0.69842821886155915</v>
      </c>
      <c r="CH34" s="26">
        <v>40</v>
      </c>
      <c r="CI34" s="26">
        <v>22.5</v>
      </c>
      <c r="CJ34" s="26">
        <v>1.6020599913279623</v>
      </c>
      <c r="CK34" s="26">
        <v>1.3521825181113625</v>
      </c>
      <c r="CL34" s="26">
        <v>0.77777777777777779</v>
      </c>
      <c r="CM34" s="27">
        <v>34.430804597701169</v>
      </c>
      <c r="CN34" s="27">
        <v>0.87699261437690179</v>
      </c>
      <c r="CO34" s="27">
        <v>14.002720000000007</v>
      </c>
      <c r="CQ34" s="27">
        <v>141.16230769230771</v>
      </c>
      <c r="CR34" s="27">
        <v>0.81363654332700808</v>
      </c>
      <c r="CS34" s="27">
        <v>1.4151340996168575</v>
      </c>
      <c r="CT34" s="27">
        <v>0.72605363984674265</v>
      </c>
      <c r="CU34" s="27">
        <v>0.94907651715039654</v>
      </c>
      <c r="CV34" s="27">
        <v>1.549389312977099</v>
      </c>
      <c r="CW34" s="27">
        <v>2.1901605560639821</v>
      </c>
      <c r="CX34" s="28">
        <v>2.34</v>
      </c>
      <c r="CY34" s="28">
        <v>0.88</v>
      </c>
      <c r="CZ34" s="29">
        <v>33.709007630000002</v>
      </c>
      <c r="DA34" s="27">
        <v>0.71856401493398725</v>
      </c>
      <c r="DB34" s="27">
        <v>3.1430399491928545</v>
      </c>
      <c r="DC34" s="27">
        <v>2.3607257116750975</v>
      </c>
      <c r="DD34" s="27">
        <v>1</v>
      </c>
      <c r="DE34" s="27">
        <v>-0.6</v>
      </c>
      <c r="DF34" s="27">
        <v>97.5</v>
      </c>
      <c r="DG34" s="28">
        <v>4.5798523780038014</v>
      </c>
      <c r="DH34" s="27">
        <v>0.98065000000000002</v>
      </c>
      <c r="DI34" s="27">
        <v>4.4000000000000004</v>
      </c>
      <c r="DJ34" s="27">
        <v>3.1</v>
      </c>
      <c r="DK34" s="27">
        <v>2</v>
      </c>
      <c r="DL34" s="27">
        <v>4.1965997035105826E-2</v>
      </c>
      <c r="DM34" s="27">
        <v>0.71560000000000001</v>
      </c>
      <c r="DN34" s="28">
        <v>0.75849999999999995</v>
      </c>
      <c r="DO34" s="28">
        <v>-0.10512033978291654</v>
      </c>
      <c r="DP34" s="28">
        <f t="shared" si="18"/>
        <v>4.3909555069292512E-2</v>
      </c>
      <c r="DQ34" s="27">
        <v>0.17789999999999995</v>
      </c>
      <c r="DR34" s="27">
        <v>5.0662060808238797E-2</v>
      </c>
      <c r="DS34" s="27">
        <v>3.802148779895468E-2</v>
      </c>
      <c r="DT34" s="27">
        <v>2.77430650961079E-2</v>
      </c>
      <c r="DU34" s="30">
        <v>5.7984980000000004</v>
      </c>
      <c r="DV34">
        <v>-1</v>
      </c>
      <c r="DW34">
        <v>0.7</v>
      </c>
      <c r="DX34">
        <v>98</v>
      </c>
      <c r="DY34">
        <v>95</v>
      </c>
      <c r="DZ34">
        <v>1.6</v>
      </c>
      <c r="EA34">
        <v>1.7</v>
      </c>
      <c r="EB34">
        <v>2.0603549999999999</v>
      </c>
    </row>
    <row r="35" spans="1:132" ht="18">
      <c r="A35" s="14" t="s">
        <v>140</v>
      </c>
      <c r="B35" s="14">
        <v>8</v>
      </c>
      <c r="C35" s="14" t="s">
        <v>141</v>
      </c>
      <c r="D35" s="14" t="s">
        <v>142</v>
      </c>
      <c r="E35" s="14" t="s">
        <v>143</v>
      </c>
      <c r="F35" s="15">
        <v>11175</v>
      </c>
      <c r="G35" s="15">
        <v>4.0482475318039741</v>
      </c>
      <c r="H35" s="15">
        <v>9113</v>
      </c>
      <c r="I35" s="15">
        <v>278</v>
      </c>
      <c r="J35" s="15">
        <v>1784</v>
      </c>
      <c r="K35" s="16">
        <v>1</v>
      </c>
      <c r="L35" s="17">
        <v>0.21893734571529327</v>
      </c>
      <c r="M35" s="18">
        <v>100</v>
      </c>
      <c r="N35" s="18">
        <v>73</v>
      </c>
      <c r="O35" s="18">
        <v>0.91744311002468082</v>
      </c>
      <c r="P35" s="18">
        <v>3</v>
      </c>
      <c r="Q35" s="18">
        <f t="shared" si="15"/>
        <v>2.6666666666666665</v>
      </c>
      <c r="R35" s="18">
        <v>100</v>
      </c>
      <c r="S35" s="18">
        <v>5</v>
      </c>
      <c r="T35" s="19">
        <v>18200</v>
      </c>
      <c r="U35" s="19">
        <v>4.2600713879850751</v>
      </c>
      <c r="V35" s="20">
        <v>56400</v>
      </c>
      <c r="W35" s="20">
        <v>4.7512791039833422</v>
      </c>
      <c r="X35" s="20">
        <v>0.50810810810810814</v>
      </c>
      <c r="Y35" s="20">
        <v>0.4849297367</v>
      </c>
      <c r="Z35" s="20">
        <f t="shared" si="3"/>
        <v>-0.3143211834061439</v>
      </c>
      <c r="AA35" s="20">
        <v>0.46434991009999999</v>
      </c>
      <c r="AB35" s="20">
        <v>775</v>
      </c>
      <c r="AC35" s="20">
        <v>15011</v>
      </c>
      <c r="AD35" s="21">
        <v>7911</v>
      </c>
      <c r="AE35" s="21">
        <f t="shared" si="0"/>
        <v>0.15499000822851769</v>
      </c>
      <c r="AF35" s="21">
        <f t="shared" si="14"/>
        <v>3.8982313845130969</v>
      </c>
      <c r="AG35" s="22">
        <v>5.3798832334156187E-2</v>
      </c>
      <c r="AH35" s="22"/>
      <c r="AI35" s="22">
        <v>2.4431428419999999</v>
      </c>
      <c r="AJ35" s="23">
        <v>111000</v>
      </c>
      <c r="AK35" s="23">
        <f t="shared" si="10"/>
        <v>5.0453229787866576</v>
      </c>
      <c r="AL35" s="24">
        <v>0.58393223800000005</v>
      </c>
      <c r="AM35" s="22">
        <f>23118+8973</f>
        <v>32091</v>
      </c>
      <c r="AN35" s="22">
        <f t="shared" si="4"/>
        <v>0.62871752674268244</v>
      </c>
      <c r="AO35" s="23">
        <v>4.3602412731006158E-2</v>
      </c>
      <c r="AP35" s="33">
        <v>1.4762178000000001E-2</v>
      </c>
      <c r="AQ35" s="23">
        <v>0.169150437676723</v>
      </c>
      <c r="AR35" s="23">
        <v>51042</v>
      </c>
      <c r="AS35" s="23">
        <v>4.7079276831885455</v>
      </c>
      <c r="AT35" s="23">
        <v>4.7202502889087787</v>
      </c>
      <c r="AU35" s="22">
        <v>0.82799999999999996</v>
      </c>
      <c r="AV35" s="22">
        <v>0.65600759850000001</v>
      </c>
      <c r="AW35" s="22">
        <v>46.3</v>
      </c>
      <c r="AX35" s="22">
        <v>31.8</v>
      </c>
      <c r="AY35" s="22">
        <v>1</v>
      </c>
      <c r="AZ35" s="24">
        <v>31168</v>
      </c>
      <c r="BA35" s="24">
        <f t="shared" si="5"/>
        <v>4.4937089351985211</v>
      </c>
      <c r="BB35" s="24">
        <v>15135</v>
      </c>
      <c r="BC35" s="24">
        <f t="shared" si="6"/>
        <v>4.1799824252925921</v>
      </c>
      <c r="BD35" s="24">
        <v>16033</v>
      </c>
      <c r="BE35" s="23">
        <v>1359</v>
      </c>
      <c r="BF35" s="23">
        <f t="shared" si="16"/>
        <v>183</v>
      </c>
      <c r="BG35" s="23">
        <v>-0.21217391304347827</v>
      </c>
      <c r="BH35" s="23">
        <v>2.6625132244034323E-2</v>
      </c>
      <c r="BI35" s="23">
        <v>3.2850259945535219E-2</v>
      </c>
      <c r="BJ35" s="23">
        <v>2.8073292118489041E-2</v>
      </c>
      <c r="BK35" s="23">
        <v>-0.18950010477305135</v>
      </c>
      <c r="BL35" s="23">
        <v>1725</v>
      </c>
      <c r="BM35" s="22">
        <v>5375</v>
      </c>
      <c r="BN35" s="22">
        <f t="shared" si="17"/>
        <v>883.5</v>
      </c>
      <c r="BO35" s="22">
        <v>3.7303784685876429</v>
      </c>
      <c r="BP35" s="22">
        <v>0.17245251540041068</v>
      </c>
      <c r="BQ35" s="22">
        <v>3.1423414271078413E-2</v>
      </c>
      <c r="BR35" s="22">
        <v>1.1323449607772887E-2</v>
      </c>
      <c r="BS35" s="22">
        <v>-1501</v>
      </c>
      <c r="BT35" s="22">
        <v>3.1763806922432702</v>
      </c>
      <c r="BU35" s="22">
        <v>2.9407154892049685E-2</v>
      </c>
      <c r="BV35" s="23">
        <v>4747</v>
      </c>
      <c r="BW35" s="22">
        <v>12432</v>
      </c>
      <c r="BX35" s="22">
        <v>55.96</v>
      </c>
      <c r="BY35" s="22">
        <v>1.7478777058197901</v>
      </c>
      <c r="BZ35" s="25">
        <v>0.34681107099879677</v>
      </c>
      <c r="CA35" s="23">
        <v>5.8322610508718871</v>
      </c>
      <c r="CB35" s="23">
        <v>583.22610508718867</v>
      </c>
      <c r="CC35" s="23">
        <v>2.7658369546816335</v>
      </c>
      <c r="CD35" s="23">
        <v>15.998200940326045</v>
      </c>
      <c r="CE35" s="23">
        <v>7.1555148383187932</v>
      </c>
      <c r="CF35" s="23">
        <v>1.7317222392168861</v>
      </c>
      <c r="CG35" s="23">
        <f t="shared" si="7"/>
        <v>0.54911642731244936</v>
      </c>
      <c r="CH35" s="26">
        <v>21.68</v>
      </c>
      <c r="CI35" s="26">
        <v>40</v>
      </c>
      <c r="CJ35" s="26">
        <v>1.3360592778663494</v>
      </c>
      <c r="CK35" s="26">
        <v>1.6020599913279623</v>
      </c>
      <c r="CL35" s="26">
        <v>-0.45800000000000002</v>
      </c>
      <c r="CM35" s="27">
        <v>32.806781609195411</v>
      </c>
      <c r="CN35" s="27">
        <v>-4.7167732717294325E-2</v>
      </c>
      <c r="CO35" s="27">
        <v>14.687391304347829</v>
      </c>
      <c r="CP35" s="27">
        <v>4.8895593452402179E-2</v>
      </c>
      <c r="CQ35" s="27">
        <v>128.33115384615388</v>
      </c>
      <c r="CR35" s="27">
        <v>-9.0896458522922177E-2</v>
      </c>
      <c r="CS35" s="27">
        <v>1.3546743295019157</v>
      </c>
      <c r="CT35" s="27">
        <v>1.4151340996168575</v>
      </c>
      <c r="CU35" s="27">
        <v>-4.272370380397951E-2</v>
      </c>
      <c r="CV35" s="27">
        <v>1.5608045977011498</v>
      </c>
      <c r="CW35" s="27">
        <v>2.1933485357004661</v>
      </c>
      <c r="CX35" s="28">
        <v>1.03</v>
      </c>
      <c r="CY35" s="28">
        <v>2.34</v>
      </c>
      <c r="CZ35" s="29">
        <v>33.580881230000003</v>
      </c>
      <c r="DA35" s="27">
        <v>-3.8009543741646867E-3</v>
      </c>
      <c r="DB35" s="27">
        <v>1.4102002336892525</v>
      </c>
      <c r="DC35" s="27">
        <v>3.1430399491928545</v>
      </c>
      <c r="DD35" s="27">
        <v>1</v>
      </c>
      <c r="DE35" s="27">
        <v>2</v>
      </c>
      <c r="DF35" s="27">
        <v>99.3</v>
      </c>
      <c r="DG35" s="28">
        <v>4.598145571051127</v>
      </c>
      <c r="DH35" s="27">
        <v>0.99378999999999995</v>
      </c>
      <c r="DI35" s="27">
        <v>4.5</v>
      </c>
      <c r="DJ35" s="27">
        <v>1.4</v>
      </c>
      <c r="DK35" s="27">
        <v>2.6</v>
      </c>
      <c r="DL35" s="27">
        <v>2.4369778879479467E-2</v>
      </c>
      <c r="DM35" s="27">
        <v>0.69779999999999998</v>
      </c>
      <c r="DN35" s="28">
        <v>0.68400000000000005</v>
      </c>
      <c r="DO35" s="28">
        <v>-9.8220171390902972E-2</v>
      </c>
      <c r="DP35" s="28">
        <f t="shared" si="18"/>
        <v>-2.487423141419793E-2</v>
      </c>
      <c r="DQ35" s="27">
        <v>0.13560000000000005</v>
      </c>
      <c r="DR35" s="27">
        <v>3.802148779895468E-2</v>
      </c>
      <c r="DS35" s="27">
        <v>3.4239891893164551E-2</v>
      </c>
      <c r="DT35" s="27">
        <v>5.0662060808238797E-2</v>
      </c>
      <c r="DU35" s="30">
        <v>9.2708490000000001</v>
      </c>
      <c r="DV35">
        <v>2.2000000000000002</v>
      </c>
      <c r="DW35">
        <v>2.6</v>
      </c>
      <c r="DX35">
        <v>98.8</v>
      </c>
      <c r="DY35">
        <v>96.9</v>
      </c>
      <c r="DZ35">
        <v>1.3</v>
      </c>
      <c r="EA35">
        <v>2.5</v>
      </c>
      <c r="EB35">
        <v>1.1868369999999999</v>
      </c>
    </row>
    <row r="36" spans="1:132" ht="18">
      <c r="A36" s="14" t="s">
        <v>140</v>
      </c>
      <c r="B36" s="14">
        <v>9</v>
      </c>
      <c r="C36" s="14" t="s">
        <v>141</v>
      </c>
      <c r="D36" s="14" t="s">
        <v>142</v>
      </c>
      <c r="E36" s="14" t="s">
        <v>143</v>
      </c>
      <c r="F36" s="15">
        <v>13158</v>
      </c>
      <c r="G36" s="15">
        <v>4.1191898820611668</v>
      </c>
      <c r="H36" s="15">
        <v>9882</v>
      </c>
      <c r="I36" s="15">
        <v>768</v>
      </c>
      <c r="J36" s="15">
        <v>2508</v>
      </c>
      <c r="K36" s="16">
        <v>1</v>
      </c>
      <c r="L36" s="17">
        <v>0.25546538267386326</v>
      </c>
      <c r="M36" s="18">
        <v>100</v>
      </c>
      <c r="N36" s="18">
        <v>73</v>
      </c>
      <c r="O36" s="18">
        <v>0.91744311002468082</v>
      </c>
      <c r="P36" s="18">
        <v>3</v>
      </c>
      <c r="Q36" s="18">
        <f t="shared" si="15"/>
        <v>2.6666666666666665</v>
      </c>
      <c r="R36" s="18">
        <v>100</v>
      </c>
      <c r="S36" s="18">
        <v>5</v>
      </c>
      <c r="T36" s="19">
        <v>21337</v>
      </c>
      <c r="U36" s="19">
        <v>4.3291333572142872</v>
      </c>
      <c r="V36" s="20">
        <v>57100</v>
      </c>
      <c r="W36" s="20">
        <v>4.7566361082458481</v>
      </c>
      <c r="X36" s="20">
        <v>0.5125673249551167</v>
      </c>
      <c r="Y36" s="20">
        <v>0.51913460899999997</v>
      </c>
      <c r="Z36" s="20">
        <f t="shared" si="3"/>
        <v>-0.28472001716874068</v>
      </c>
      <c r="AA36" s="20">
        <v>0.4818013572</v>
      </c>
      <c r="AB36" s="20">
        <v>781</v>
      </c>
      <c r="AC36" s="20">
        <v>15573</v>
      </c>
      <c r="AD36" s="21">
        <v>10366</v>
      </c>
      <c r="AE36" s="21">
        <f t="shared" si="0"/>
        <v>0.20125810585174542</v>
      </c>
      <c r="AF36" s="21">
        <f t="shared" si="14"/>
        <v>4.0156112045035126</v>
      </c>
      <c r="AG36" s="22">
        <v>5.9274647613870232E-2</v>
      </c>
      <c r="AH36" s="22"/>
      <c r="AI36" s="22">
        <v>2.4237933950000001</v>
      </c>
      <c r="AJ36" s="23">
        <v>111400</v>
      </c>
      <c r="AK36" s="23">
        <f t="shared" si="10"/>
        <v>5.0468851908377097</v>
      </c>
      <c r="AL36" s="24">
        <v>0.60809963499999997</v>
      </c>
      <c r="AM36" s="22">
        <f>21775+10835</f>
        <v>32610</v>
      </c>
      <c r="AN36" s="22">
        <f t="shared" si="4"/>
        <v>0.63313012076262964</v>
      </c>
      <c r="AO36" s="23">
        <v>3.7078203374373002E-2</v>
      </c>
      <c r="AP36" s="33">
        <v>5.6655500000000005E-4</v>
      </c>
      <c r="AQ36" s="23">
        <v>-1.2467579233344663</v>
      </c>
      <c r="AR36" s="23">
        <v>51506</v>
      </c>
      <c r="AS36" s="23">
        <v>4.7118578235093649</v>
      </c>
      <c r="AT36" s="23">
        <v>4.7079276831885455</v>
      </c>
      <c r="AU36" s="22">
        <v>0.81100000000000005</v>
      </c>
      <c r="AV36" s="22">
        <v>0.60520745129999998</v>
      </c>
      <c r="AW36" s="22">
        <v>45.8</v>
      </c>
      <c r="AX36" s="22">
        <v>46.3</v>
      </c>
      <c r="AY36" s="22">
        <v>1</v>
      </c>
      <c r="AZ36" s="24">
        <v>35088</v>
      </c>
      <c r="BA36" s="24">
        <f t="shared" si="5"/>
        <v>4.5451586143334479</v>
      </c>
      <c r="BB36" s="24">
        <v>17103</v>
      </c>
      <c r="BC36" s="24">
        <f t="shared" si="6"/>
        <v>4.2330722957237947</v>
      </c>
      <c r="BD36" s="24">
        <v>17985</v>
      </c>
      <c r="BE36" s="23">
        <v>1301</v>
      </c>
      <c r="BF36" s="23">
        <f t="shared" si="16"/>
        <v>29</v>
      </c>
      <c r="BG36" s="23">
        <v>-4.2678440029433405E-2</v>
      </c>
      <c r="BH36" s="23">
        <v>2.5259193103716073E-2</v>
      </c>
      <c r="BI36" s="23">
        <v>2.6625132244034323E-2</v>
      </c>
      <c r="BJ36" s="23">
        <v>2.8073292118489041E-2</v>
      </c>
      <c r="BK36" s="23">
        <v>-5.1302623693983904E-2</v>
      </c>
      <c r="BL36" s="23">
        <v>1359</v>
      </c>
      <c r="BM36" s="22">
        <v>5773</v>
      </c>
      <c r="BN36" s="22">
        <f t="shared" si="17"/>
        <v>199</v>
      </c>
      <c r="BO36" s="22">
        <v>3.761401557498631</v>
      </c>
      <c r="BP36" s="22">
        <v>0.16452918376652986</v>
      </c>
      <c r="BQ36" s="22">
        <v>3.9616658169404073E-3</v>
      </c>
      <c r="BR36" s="22">
        <v>3.1423414271078413E-2</v>
      </c>
      <c r="BS36" s="22">
        <v>-2414</v>
      </c>
      <c r="BT36" s="22">
        <v>3.3827372657613304</v>
      </c>
      <c r="BU36" s="22">
        <v>4.6868326020269482E-2</v>
      </c>
      <c r="BV36" s="23">
        <v>5644</v>
      </c>
      <c r="BW36" s="22">
        <v>11436</v>
      </c>
      <c r="BX36" s="22">
        <v>55.3</v>
      </c>
      <c r="BY36" s="22">
        <v>1.7427251313046983</v>
      </c>
      <c r="BZ36" s="25">
        <v>-1.1794138670478979E-2</v>
      </c>
      <c r="CA36" s="23">
        <v>7.1555148383187932</v>
      </c>
      <c r="CB36" s="23">
        <v>715.5514838318793</v>
      </c>
      <c r="CC36" s="23">
        <v>2.8546408866488413</v>
      </c>
      <c r="CD36" s="23">
        <v>5.8322610508718871</v>
      </c>
      <c r="CE36" s="23">
        <v>5.4867350811381188</v>
      </c>
      <c r="CF36" s="23">
        <v>1.3674601340420613</v>
      </c>
      <c r="CG36" s="23">
        <f t="shared" si="7"/>
        <v>0.31295510245180919</v>
      </c>
      <c r="CH36" s="26">
        <v>17.75</v>
      </c>
      <c r="CI36" s="26">
        <v>21.68</v>
      </c>
      <c r="CJ36" s="26">
        <v>1.249198357391113</v>
      </c>
      <c r="CK36" s="26">
        <v>1.3360592778663494</v>
      </c>
      <c r="CL36" s="26">
        <v>-0.18127306273062729</v>
      </c>
      <c r="CM36" s="27">
        <v>23.674061302682002</v>
      </c>
      <c r="CN36" s="27">
        <v>-0.27837903806917774</v>
      </c>
      <c r="CO36" s="27">
        <v>13.172845849802364</v>
      </c>
      <c r="CP36" s="27">
        <v>-0.10311875153058132</v>
      </c>
      <c r="CQ36" s="27">
        <v>93.814615384615436</v>
      </c>
      <c r="CR36" s="27">
        <v>-0.26896460779054171</v>
      </c>
      <c r="CS36" s="27">
        <v>1.0575095785440605</v>
      </c>
      <c r="CT36" s="27">
        <v>1.3546743295019157</v>
      </c>
      <c r="CU36" s="27">
        <v>-0.21936250247475808</v>
      </c>
      <c r="CV36" s="27">
        <v>1.2699233716475098</v>
      </c>
      <c r="CW36" s="27">
        <v>2.1037775160152683</v>
      </c>
      <c r="CX36" s="28">
        <v>0.92</v>
      </c>
      <c r="CY36" s="28">
        <v>1.03</v>
      </c>
      <c r="CZ36" s="29">
        <v>26.404674329999999</v>
      </c>
      <c r="DA36" s="27">
        <v>-0.21369918349816944</v>
      </c>
      <c r="DB36" s="27">
        <v>3.3676575479931978</v>
      </c>
      <c r="DC36" s="27">
        <v>1.4102002336892525</v>
      </c>
      <c r="DD36" s="27">
        <v>1</v>
      </c>
      <c r="DE36" s="27">
        <v>1.9</v>
      </c>
      <c r="DF36" s="27">
        <v>100</v>
      </c>
      <c r="DG36" s="28">
        <v>4.6051701859880918</v>
      </c>
      <c r="DH36" s="27">
        <v>1</v>
      </c>
      <c r="DI36" s="27">
        <v>4.3</v>
      </c>
      <c r="DJ36" s="27">
        <v>2</v>
      </c>
      <c r="DK36" s="27">
        <v>2.5</v>
      </c>
      <c r="DL36" s="27">
        <v>2.4833477735949187E-2</v>
      </c>
      <c r="DM36" s="27">
        <v>0.74709999999999999</v>
      </c>
      <c r="DN36" s="28">
        <v>0.71719999999999995</v>
      </c>
      <c r="DO36" s="28">
        <v>4.8538011695906276E-2</v>
      </c>
      <c r="DP36" s="28">
        <f t="shared" si="18"/>
        <v>7.0650616222413323E-2</v>
      </c>
      <c r="DQ36" s="27">
        <v>0.14990000000000003</v>
      </c>
      <c r="DR36" s="27">
        <v>3.4239891893164551E-2</v>
      </c>
      <c r="DS36" s="27">
        <v>2.4180879115385762E-2</v>
      </c>
      <c r="DT36" s="27">
        <v>3.802148779895468E-2</v>
      </c>
      <c r="DU36" s="30">
        <v>9.6228090000000002</v>
      </c>
      <c r="DV36">
        <v>2.7</v>
      </c>
      <c r="DW36">
        <v>2.9</v>
      </c>
      <c r="DX36">
        <v>100</v>
      </c>
      <c r="DY36">
        <v>100</v>
      </c>
      <c r="DZ36">
        <v>0.2</v>
      </c>
      <c r="EA36">
        <v>2</v>
      </c>
      <c r="EB36">
        <v>1.2855829999999999</v>
      </c>
    </row>
    <row r="37" spans="1:132" ht="18">
      <c r="A37" s="14" t="s">
        <v>140</v>
      </c>
      <c r="B37" s="14">
        <v>10</v>
      </c>
      <c r="C37" s="14" t="s">
        <v>141</v>
      </c>
      <c r="D37" s="14" t="s">
        <v>142</v>
      </c>
      <c r="E37" s="14" t="s">
        <v>143</v>
      </c>
      <c r="F37" s="15">
        <v>14869</v>
      </c>
      <c r="G37" s="15">
        <v>4.1722817614550003</v>
      </c>
      <c r="H37" s="15">
        <v>12077</v>
      </c>
      <c r="I37" s="15">
        <v>744</v>
      </c>
      <c r="J37" s="15">
        <v>2048</v>
      </c>
      <c r="K37" s="16">
        <v>1</v>
      </c>
      <c r="L37" s="17">
        <v>0.28179664550364825</v>
      </c>
      <c r="M37" s="18">
        <v>100</v>
      </c>
      <c r="N37" s="18">
        <v>73</v>
      </c>
      <c r="O37" s="18">
        <v>0.91744311002468082</v>
      </c>
      <c r="P37" s="18">
        <v>3</v>
      </c>
      <c r="Q37" s="18">
        <f t="shared" si="15"/>
        <v>2.6666666666666665</v>
      </c>
      <c r="R37" s="18">
        <v>100</v>
      </c>
      <c r="S37" s="18">
        <v>5</v>
      </c>
      <c r="T37" s="19">
        <v>22087</v>
      </c>
      <c r="U37" s="19">
        <v>4.3441367311758823</v>
      </c>
      <c r="V37" s="20">
        <v>58200</v>
      </c>
      <c r="W37" s="20">
        <v>4.7649229846498882</v>
      </c>
      <c r="X37" s="20">
        <v>0.52057245080500891</v>
      </c>
      <c r="Y37" s="20">
        <v>0.5345310472</v>
      </c>
      <c r="Z37" s="20">
        <f t="shared" si="3"/>
        <v>-0.27202706456924292</v>
      </c>
      <c r="AA37" s="20">
        <v>0.51920768309999998</v>
      </c>
      <c r="AB37" s="20">
        <v>865</v>
      </c>
      <c r="AC37" s="20">
        <v>15650</v>
      </c>
      <c r="AD37" s="21">
        <v>10760</v>
      </c>
      <c r="AE37" s="21">
        <f t="shared" si="0"/>
        <v>0.20392305505543448</v>
      </c>
      <c r="AF37" s="21">
        <f t="shared" si="14"/>
        <v>4.0318122713303701</v>
      </c>
      <c r="AG37" s="22">
        <v>5.5567137306926938E-2</v>
      </c>
      <c r="AH37" s="22"/>
      <c r="AI37" s="22">
        <v>2.1223600230000002</v>
      </c>
      <c r="AJ37" s="23">
        <v>111800</v>
      </c>
      <c r="AK37" s="23">
        <f t="shared" si="10"/>
        <v>5.0484418035504044</v>
      </c>
      <c r="AL37" s="24">
        <v>0.60465943899999997</v>
      </c>
      <c r="AM37" s="22">
        <f>20104+13390</f>
        <v>33494</v>
      </c>
      <c r="AN37" s="22">
        <f t="shared" si="4"/>
        <v>0.63477684070880314</v>
      </c>
      <c r="AO37" s="23">
        <v>6.7674113009198428E-2</v>
      </c>
      <c r="AP37" s="33">
        <v>2.2544279E-2</v>
      </c>
      <c r="AQ37" s="23">
        <v>0.35303635047299414</v>
      </c>
      <c r="AR37" s="23">
        <v>52765</v>
      </c>
      <c r="AS37" s="23">
        <v>4.7223459424755809</v>
      </c>
      <c r="AT37" s="23">
        <v>4.7118578235093649</v>
      </c>
      <c r="AU37" s="22">
        <v>0.80200000000000005</v>
      </c>
      <c r="AV37" s="22">
        <v>0.48726065070000002</v>
      </c>
      <c r="AW37" s="22">
        <v>40.9</v>
      </c>
      <c r="AX37" s="22">
        <v>45.8</v>
      </c>
      <c r="AY37" s="22">
        <v>1</v>
      </c>
      <c r="AZ37" s="24">
        <v>36528</v>
      </c>
      <c r="BA37" s="24">
        <f t="shared" si="5"/>
        <v>4.5626258941461604</v>
      </c>
      <c r="BB37" s="24">
        <v>17975</v>
      </c>
      <c r="BC37" s="24">
        <f t="shared" si="6"/>
        <v>4.25466889905492</v>
      </c>
      <c r="BD37" s="24">
        <v>18553</v>
      </c>
      <c r="BE37" s="23">
        <v>2472</v>
      </c>
      <c r="BF37" s="23">
        <f t="shared" si="16"/>
        <v>585.5</v>
      </c>
      <c r="BG37" s="23">
        <v>0.9000768639508071</v>
      </c>
      <c r="BH37" s="23">
        <v>4.684923718373922E-2</v>
      </c>
      <c r="BI37" s="23">
        <v>2.5259193103716073E-2</v>
      </c>
      <c r="BJ37" s="23">
        <v>2.8073292118489041E-2</v>
      </c>
      <c r="BK37" s="23">
        <v>0.85474005410120846</v>
      </c>
      <c r="BL37" s="23">
        <v>1301</v>
      </c>
      <c r="BM37" s="22">
        <v>5060</v>
      </c>
      <c r="BN37" s="22">
        <f t="shared" si="17"/>
        <v>356.5</v>
      </c>
      <c r="BO37" s="22">
        <v>3.7041505168397992</v>
      </c>
      <c r="BP37" s="22">
        <v>0.13852387209811651</v>
      </c>
      <c r="BQ37" s="22">
        <v>1.3002655834206678E-2</v>
      </c>
      <c r="BR37" s="22">
        <v>3.9616658169404073E-3</v>
      </c>
      <c r="BS37" s="22">
        <v>-3890</v>
      </c>
      <c r="BT37" s="22">
        <v>3.5899496013257077</v>
      </c>
      <c r="BU37" s="22">
        <v>7.3723111911304845E-2</v>
      </c>
      <c r="BV37" s="23">
        <v>6103</v>
      </c>
      <c r="BW37" s="22">
        <v>9390</v>
      </c>
      <c r="BX37" s="22">
        <v>49.4</v>
      </c>
      <c r="BY37" s="22">
        <v>1.6937269489236468</v>
      </c>
      <c r="BZ37" s="25">
        <v>-0.10669077757685351</v>
      </c>
      <c r="CA37" s="23">
        <v>5.4867350811381188</v>
      </c>
      <c r="CB37" s="23">
        <v>548.67350811381186</v>
      </c>
      <c r="CC37" s="23">
        <v>2.7393139914376685</v>
      </c>
      <c r="CD37" s="23">
        <v>7.1555148383187932</v>
      </c>
      <c r="CE37" s="23">
        <v>4.4032796875923887</v>
      </c>
      <c r="CF37" s="23">
        <v>1.6809954751131222</v>
      </c>
      <c r="CG37" s="23">
        <f t="shared" si="7"/>
        <v>0.5193861626400611</v>
      </c>
      <c r="CH37" s="26">
        <v>23.4</v>
      </c>
      <c r="CI37" s="26">
        <v>17.75</v>
      </c>
      <c r="CJ37" s="26">
        <v>1.3692158574101427</v>
      </c>
      <c r="CK37" s="26">
        <v>1.249198357391113</v>
      </c>
      <c r="CL37" s="26">
        <v>0.31830985915492949</v>
      </c>
      <c r="CM37" s="27">
        <v>25.275999999999993</v>
      </c>
      <c r="CN37" s="27">
        <v>6.7666408261623831E-2</v>
      </c>
      <c r="CO37" s="27">
        <v>14.393934426229498</v>
      </c>
      <c r="CP37" s="27">
        <v>9.2697401180433139E-2</v>
      </c>
      <c r="CQ37" s="27">
        <v>94.493822393822356</v>
      </c>
      <c r="CR37" s="27">
        <v>7.2398848134946573E-3</v>
      </c>
      <c r="CS37" s="27">
        <v>1.0720384615384604</v>
      </c>
      <c r="CT37" s="27">
        <v>1.0575095785440605</v>
      </c>
      <c r="CU37" s="27">
        <v>1.37387720065881E-2</v>
      </c>
      <c r="CV37" s="27">
        <v>1.268846153846154</v>
      </c>
      <c r="CW37" s="27">
        <v>2.1034089675745258</v>
      </c>
      <c r="CX37" s="28">
        <v>0.92</v>
      </c>
      <c r="CY37" s="28">
        <v>0.92</v>
      </c>
      <c r="CZ37" s="29">
        <v>29.99596154</v>
      </c>
      <c r="DA37" s="27">
        <v>0.13600952487112158</v>
      </c>
      <c r="DB37" s="27">
        <v>1.9709466682529033</v>
      </c>
      <c r="DC37" s="27">
        <v>3.3676575479931978</v>
      </c>
      <c r="DD37" s="27">
        <v>1</v>
      </c>
      <c r="DE37" s="27">
        <v>1.2</v>
      </c>
      <c r="DF37" s="27">
        <v>101.1</v>
      </c>
      <c r="DG37" s="28">
        <v>4.6161101260264257</v>
      </c>
      <c r="DH37" s="27">
        <v>1.0118</v>
      </c>
      <c r="DI37" s="27">
        <v>4.3</v>
      </c>
      <c r="DJ37" s="27">
        <v>1.5</v>
      </c>
      <c r="DK37" s="27">
        <v>2.7</v>
      </c>
      <c r="DL37" s="27">
        <v>1.6688062333233E-2</v>
      </c>
      <c r="DM37" s="27">
        <v>0.77139999999999997</v>
      </c>
      <c r="DN37" s="28">
        <v>0.69699999999999995</v>
      </c>
      <c r="DO37" s="28">
        <v>-2.8165086447295033E-2</v>
      </c>
      <c r="DP37" s="28">
        <f>(DM37-DM36)/DM36</f>
        <v>3.2525766296345855E-2</v>
      </c>
      <c r="DQ37" s="27">
        <v>0.10270000000000001</v>
      </c>
      <c r="DR37" s="27">
        <v>2.4180879115385762E-2</v>
      </c>
      <c r="DS37" s="27">
        <v>2.0079372103467861E-2</v>
      </c>
      <c r="DT37" s="27">
        <v>3.4239891893164551E-2</v>
      </c>
      <c r="DU37" s="30">
        <v>8.9420310000000001</v>
      </c>
      <c r="DV37">
        <v>2.2000000000000002</v>
      </c>
      <c r="DW37">
        <v>2.4</v>
      </c>
      <c r="DX37">
        <v>102.1</v>
      </c>
      <c r="DY37">
        <v>102.1</v>
      </c>
      <c r="DZ37">
        <v>0.9</v>
      </c>
      <c r="EA37">
        <v>0.7</v>
      </c>
      <c r="EB37">
        <v>1.494866</v>
      </c>
    </row>
    <row r="38" spans="1:132" ht="18">
      <c r="A38" s="14" t="s">
        <v>140</v>
      </c>
      <c r="B38" s="14">
        <v>11</v>
      </c>
      <c r="C38" s="14" t="s">
        <v>141</v>
      </c>
      <c r="D38" s="14" t="s">
        <v>142</v>
      </c>
      <c r="E38" s="14" t="s">
        <v>143</v>
      </c>
      <c r="F38" s="15">
        <v>15031</v>
      </c>
      <c r="G38" s="15">
        <v>4.1769878748008109</v>
      </c>
      <c r="H38" s="15">
        <v>12123</v>
      </c>
      <c r="I38" s="15">
        <v>1136</v>
      </c>
      <c r="J38" s="15">
        <v>1772</v>
      </c>
      <c r="K38" s="16">
        <v>1</v>
      </c>
      <c r="L38" s="17">
        <v>0.29279647810503351</v>
      </c>
      <c r="M38" s="18">
        <v>100</v>
      </c>
      <c r="N38" s="18">
        <v>73</v>
      </c>
      <c r="O38" s="18">
        <v>0.91744311002468082</v>
      </c>
      <c r="P38" s="18">
        <v>3</v>
      </c>
      <c r="Q38" s="18">
        <f t="shared" si="15"/>
        <v>2.6666666666666665</v>
      </c>
      <c r="R38" s="18">
        <v>100</v>
      </c>
      <c r="S38" s="18">
        <v>5</v>
      </c>
      <c r="T38" s="19">
        <v>25030</v>
      </c>
      <c r="U38" s="19">
        <v>4.3984608496082229</v>
      </c>
      <c r="V38" s="20">
        <v>58200</v>
      </c>
      <c r="W38" s="20">
        <v>4.7649229846498882</v>
      </c>
      <c r="X38" s="20">
        <v>0.52669683257918554</v>
      </c>
      <c r="Y38" s="20">
        <v>0.54769392029999997</v>
      </c>
      <c r="Z38" s="20">
        <f t="shared" si="3"/>
        <v>-0.26146207994909759</v>
      </c>
      <c r="AA38" s="20">
        <v>0.52833001989999995</v>
      </c>
      <c r="AB38" s="20">
        <v>1063</v>
      </c>
      <c r="AC38" s="20">
        <v>15675</v>
      </c>
      <c r="AD38" s="21">
        <v>11448</v>
      </c>
      <c r="AE38" s="21">
        <f t="shared" si="0"/>
        <v>0.22300140252454417</v>
      </c>
      <c r="AF38" s="21">
        <f t="shared" si="14"/>
        <v>4.0587296207517198</v>
      </c>
      <c r="AG38" s="22">
        <v>5.8691756272401432E-2</v>
      </c>
      <c r="AH38" s="22"/>
      <c r="AI38" s="22">
        <v>3.1988798539999999</v>
      </c>
      <c r="AJ38" s="23">
        <v>110500</v>
      </c>
      <c r="AK38" s="23">
        <f t="shared" si="10"/>
        <v>5.0433622780211298</v>
      </c>
      <c r="AL38" s="24">
        <v>0.629527163</v>
      </c>
      <c r="AM38" s="22">
        <f>19668+13099</f>
        <v>32767</v>
      </c>
      <c r="AN38" s="22">
        <f t="shared" si="4"/>
        <v>0.63828502415458932</v>
      </c>
      <c r="AO38" s="23">
        <v>6.2776659959758549E-2</v>
      </c>
      <c r="AP38" s="33">
        <v>1.6723691999999998E-2</v>
      </c>
      <c r="AQ38" s="23">
        <v>0.22333216055667346</v>
      </c>
      <c r="AR38" s="23">
        <v>51336</v>
      </c>
      <c r="AS38" s="23">
        <v>4.7104220262831342</v>
      </c>
      <c r="AT38" s="23">
        <v>4.7223459424755809</v>
      </c>
      <c r="AU38" s="22">
        <v>0.745</v>
      </c>
      <c r="AV38" s="22">
        <v>0.48855619579999998</v>
      </c>
      <c r="AW38" s="22">
        <v>59.4</v>
      </c>
      <c r="AX38" s="22">
        <v>40.9</v>
      </c>
      <c r="AY38" s="22">
        <v>2</v>
      </c>
      <c r="AZ38" s="24">
        <v>39760</v>
      </c>
      <c r="BA38" s="24">
        <f t="shared" si="5"/>
        <v>4.5994463757252753</v>
      </c>
      <c r="BB38" s="24">
        <v>19059</v>
      </c>
      <c r="BC38" s="24">
        <f t="shared" si="6"/>
        <v>4.2801001100549243</v>
      </c>
      <c r="BD38" s="24">
        <v>20701</v>
      </c>
      <c r="BE38" s="23">
        <v>2496</v>
      </c>
      <c r="BF38" s="23">
        <f t="shared" si="16"/>
        <v>12</v>
      </c>
      <c r="BG38" s="23">
        <v>9.7087378640776691E-3</v>
      </c>
      <c r="BH38" s="23">
        <v>4.8620850864890139E-2</v>
      </c>
      <c r="BI38" s="23">
        <v>4.684923718373922E-2</v>
      </c>
      <c r="BJ38" s="23">
        <v>2.8073292118489041E-2</v>
      </c>
      <c r="BK38" s="23">
        <v>3.781520869171854E-2</v>
      </c>
      <c r="BL38" s="23">
        <v>2472</v>
      </c>
      <c r="BM38" s="22">
        <v>4532</v>
      </c>
      <c r="BN38" s="22">
        <f t="shared" si="17"/>
        <v>264</v>
      </c>
      <c r="BO38" s="22">
        <v>3.6562899011913594</v>
      </c>
      <c r="BP38" s="22">
        <v>0.11398390342052314</v>
      </c>
      <c r="BQ38" s="22">
        <v>1.2269984338796683E-2</v>
      </c>
      <c r="BR38" s="22">
        <v>1.3002655834206678E-2</v>
      </c>
      <c r="BS38" s="22">
        <v>-818</v>
      </c>
      <c r="BT38" s="22">
        <v>2.9127533036713231</v>
      </c>
      <c r="BU38" s="22">
        <v>1.5934237182484028E-2</v>
      </c>
      <c r="BV38" s="23">
        <v>4600</v>
      </c>
      <c r="BW38" s="22">
        <v>9072</v>
      </c>
      <c r="BX38" s="22">
        <v>71.89</v>
      </c>
      <c r="BY38" s="22">
        <v>1.856668483611535</v>
      </c>
      <c r="BZ38" s="25">
        <v>0.45526315789473687</v>
      </c>
      <c r="CA38" s="23">
        <v>4.4032796875923887</v>
      </c>
      <c r="CB38" s="23">
        <v>440.3279687592389</v>
      </c>
      <c r="CC38" s="23">
        <v>2.6437762718597724</v>
      </c>
      <c r="CD38" s="23">
        <v>5.4867350811381188</v>
      </c>
      <c r="CE38" s="23">
        <v>6.2008976810073415</v>
      </c>
      <c r="CF38" s="23">
        <v>1.5345370564770102</v>
      </c>
      <c r="CG38" s="23">
        <f t="shared" si="7"/>
        <v>0.42822874367953129</v>
      </c>
      <c r="CH38" s="26">
        <v>18.02</v>
      </c>
      <c r="CI38" s="26">
        <v>23.4</v>
      </c>
      <c r="CJ38" s="26">
        <v>1.2557547866430441</v>
      </c>
      <c r="CK38" s="26">
        <v>1.3692158574101427</v>
      </c>
      <c r="CL38" s="26">
        <v>-0.22991452991452987</v>
      </c>
      <c r="CM38" s="27">
        <v>18.608429118773955</v>
      </c>
      <c r="CN38" s="27">
        <v>-0.26379058716672099</v>
      </c>
      <c r="CO38" s="27">
        <v>10.244782608695646</v>
      </c>
      <c r="CP38" s="27">
        <v>-0.28825696259759365</v>
      </c>
      <c r="CQ38" s="27">
        <v>71.254230769230816</v>
      </c>
      <c r="CR38" s="27">
        <v>-0.24593768180670883</v>
      </c>
      <c r="CS38" s="27">
        <v>0.83494252873563157</v>
      </c>
      <c r="CT38" s="27">
        <v>1.0720384615384604</v>
      </c>
      <c r="CU38" s="27">
        <v>-0.22116364413136569</v>
      </c>
      <c r="CV38" s="27">
        <v>0.95088122605364045</v>
      </c>
      <c r="CW38" s="27">
        <v>1.9781262728880398</v>
      </c>
      <c r="CX38" s="28">
        <v>0.54</v>
      </c>
      <c r="CY38" s="28">
        <v>0.92</v>
      </c>
      <c r="CZ38" s="29">
        <v>24.56237548</v>
      </c>
      <c r="DA38" s="27">
        <v>-0.18114392008251654</v>
      </c>
      <c r="DB38" s="27">
        <v>1.7682050254071211</v>
      </c>
      <c r="DC38" s="27">
        <v>1.9709466682529033</v>
      </c>
      <c r="DD38" s="27">
        <v>1</v>
      </c>
      <c r="DE38" s="27">
        <v>0.9</v>
      </c>
      <c r="DF38" s="27">
        <v>102.7</v>
      </c>
      <c r="DG38" s="28">
        <v>4.6318121169345128</v>
      </c>
      <c r="DH38" s="27">
        <v>1.0250900000000001</v>
      </c>
      <c r="DI38" s="27">
        <v>4.3</v>
      </c>
      <c r="DJ38" s="27">
        <v>0</v>
      </c>
      <c r="DK38" s="27">
        <v>1.9</v>
      </c>
      <c r="DL38" s="27">
        <v>1.6829215601661535E-2</v>
      </c>
      <c r="DM38" s="27">
        <v>0.75800000000000001</v>
      </c>
      <c r="DN38" s="28">
        <v>0.74839999999999995</v>
      </c>
      <c r="DO38" s="28">
        <v>7.3744619799139169E-2</v>
      </c>
      <c r="DP38" s="28">
        <f t="shared" si="18"/>
        <v>-1.7371013741249636E-2</v>
      </c>
      <c r="DQ38" s="27">
        <v>8.4699999999999998E-2</v>
      </c>
      <c r="DR38" s="27">
        <v>2.0079372103467861E-2</v>
      </c>
      <c r="DS38" s="27">
        <v>1.50675227484701E-2</v>
      </c>
      <c r="DT38" s="27">
        <v>2.4180879115385762E-2</v>
      </c>
      <c r="DU38" s="30">
        <v>8.0652849999999994</v>
      </c>
      <c r="DV38">
        <v>0.9</v>
      </c>
      <c r="DW38">
        <v>1.4</v>
      </c>
      <c r="DX38">
        <v>103.9</v>
      </c>
      <c r="DY38">
        <v>103.8</v>
      </c>
      <c r="DZ38">
        <v>0.1</v>
      </c>
      <c r="EA38">
        <v>0</v>
      </c>
      <c r="EB38">
        <v>1.826854</v>
      </c>
    </row>
    <row r="39" spans="1:132" ht="18">
      <c r="A39" s="14" t="s">
        <v>140</v>
      </c>
      <c r="B39" s="14">
        <v>12</v>
      </c>
      <c r="C39" s="14" t="s">
        <v>141</v>
      </c>
      <c r="D39" s="14" t="s">
        <v>142</v>
      </c>
      <c r="E39" s="14" t="s">
        <v>143</v>
      </c>
      <c r="F39" s="15">
        <v>18460</v>
      </c>
      <c r="G39" s="15">
        <v>4.2662316966898937</v>
      </c>
      <c r="H39" s="15">
        <v>13710</v>
      </c>
      <c r="I39" s="15">
        <v>2486</v>
      </c>
      <c r="J39" s="15">
        <v>2264</v>
      </c>
      <c r="K39" s="16">
        <v>1</v>
      </c>
      <c r="L39" s="17">
        <v>0.35972484751641753</v>
      </c>
      <c r="M39" s="18">
        <v>100</v>
      </c>
      <c r="N39" s="18">
        <v>73</v>
      </c>
      <c r="O39" s="18">
        <v>0.91744311002468082</v>
      </c>
      <c r="P39" s="18">
        <v>3</v>
      </c>
      <c r="Q39" s="18">
        <f t="shared" si="15"/>
        <v>2.6666666666666665</v>
      </c>
      <c r="R39" s="18">
        <v>100</v>
      </c>
      <c r="S39" s="18">
        <v>5</v>
      </c>
      <c r="T39" s="34">
        <v>25071</v>
      </c>
      <c r="U39" s="19">
        <v>4.3991716568868364</v>
      </c>
      <c r="V39" s="20">
        <v>59100</v>
      </c>
      <c r="W39" s="20">
        <v>4.7715874808812551</v>
      </c>
      <c r="X39" s="20">
        <v>0.52595980990691138</v>
      </c>
      <c r="Y39" s="20">
        <v>0.55520822479999998</v>
      </c>
      <c r="Z39" s="20">
        <f t="shared" si="3"/>
        <v>-0.25554410890983498</v>
      </c>
      <c r="AA39" s="20">
        <v>0.4728538283</v>
      </c>
      <c r="AB39" s="20">
        <v>1019</v>
      </c>
      <c r="AC39" s="20">
        <v>15985</v>
      </c>
      <c r="AD39" s="21">
        <v>9564</v>
      </c>
      <c r="AE39" s="21">
        <f t="shared" si="0"/>
        <v>0.18637098817156109</v>
      </c>
      <c r="AF39" s="21">
        <f t="shared" si="14"/>
        <v>3.9806395674437374</v>
      </c>
      <c r="AG39" s="22">
        <v>6.6371767640353102E-2</v>
      </c>
      <c r="AH39" s="22"/>
      <c r="AI39" s="22">
        <v>4.052105364</v>
      </c>
      <c r="AJ39" s="23">
        <v>112366</v>
      </c>
      <c r="AK39" s="23">
        <f t="shared" si="10"/>
        <v>5.0506349211429278</v>
      </c>
      <c r="AL39" s="24">
        <v>0.62432452623452905</v>
      </c>
      <c r="AM39" s="22">
        <f>16490+14023</f>
        <v>30513</v>
      </c>
      <c r="AN39" s="22">
        <f>AM39/AR39</f>
        <v>0.59459828127131364</v>
      </c>
      <c r="AO39" s="23">
        <v>7.9338596010658166E-2</v>
      </c>
      <c r="AP39" s="33">
        <v>7.2558978999999996E-2</v>
      </c>
      <c r="AQ39" s="23">
        <v>0.86069116300207027</v>
      </c>
      <c r="AR39" s="23">
        <v>51317</v>
      </c>
      <c r="AS39" s="23">
        <v>4.710261259520343</v>
      </c>
      <c r="AT39" s="23">
        <v>4.7104220262831342</v>
      </c>
      <c r="AU39" s="22">
        <v>0.64900000000000002</v>
      </c>
      <c r="AV39" s="22">
        <v>0.4098250336</v>
      </c>
      <c r="AW39" s="22">
        <v>84.3</v>
      </c>
      <c r="AX39" s="22">
        <v>59.4</v>
      </c>
      <c r="AY39" s="22">
        <v>2</v>
      </c>
      <c r="AZ39" s="24">
        <v>40157</v>
      </c>
      <c r="BA39" s="24">
        <f t="shared" si="5"/>
        <v>4.6037612606082874</v>
      </c>
      <c r="BB39" s="24">
        <v>20266</v>
      </c>
      <c r="BC39" s="24">
        <f t="shared" si="6"/>
        <v>4.3067680383154059</v>
      </c>
      <c r="BD39" s="24">
        <v>19891</v>
      </c>
      <c r="BE39" s="23">
        <v>3186</v>
      </c>
      <c r="BF39" s="23">
        <f t="shared" si="16"/>
        <v>345</v>
      </c>
      <c r="BG39" s="23">
        <v>0.27644230769230771</v>
      </c>
      <c r="BH39" s="23">
        <v>6.2084689284252779E-2</v>
      </c>
      <c r="BI39" s="23">
        <v>4.8620850864890139E-2</v>
      </c>
      <c r="BJ39" s="23">
        <v>2.8073292118489041E-2</v>
      </c>
      <c r="BK39" s="23">
        <v>0.27691490749054504</v>
      </c>
      <c r="BL39" s="23">
        <v>2496</v>
      </c>
      <c r="BM39" s="22">
        <v>5171</v>
      </c>
      <c r="BN39" s="22">
        <f t="shared" si="17"/>
        <v>319.5</v>
      </c>
      <c r="BO39" s="22">
        <v>3.7135745377720699</v>
      </c>
      <c r="BP39" s="22">
        <v>0.12876957940085165</v>
      </c>
      <c r="BQ39" s="22">
        <v>7.3928379901642555E-3</v>
      </c>
      <c r="BR39" s="22">
        <v>1.2269984338796683E-2</v>
      </c>
      <c r="BS39" s="22">
        <v>-2581</v>
      </c>
      <c r="BT39" s="22">
        <v>3.4117880045438689</v>
      </c>
      <c r="BU39" s="22">
        <v>5.0295223804976912E-2</v>
      </c>
      <c r="BV39" s="23">
        <v>5116</v>
      </c>
      <c r="BW39" s="22">
        <v>8526</v>
      </c>
      <c r="BX39" s="22">
        <v>101.95</v>
      </c>
      <c r="BY39" s="22">
        <v>2.0083872301141588</v>
      </c>
      <c r="BZ39" s="25">
        <v>0.41813882320211437</v>
      </c>
      <c r="CA39" s="23">
        <v>6.2008976810073415</v>
      </c>
      <c r="CB39" s="23">
        <v>620.0897681007342</v>
      </c>
      <c r="CC39" s="23">
        <v>2.7924545652543009</v>
      </c>
      <c r="CD39" s="23">
        <v>4.4032796875923887</v>
      </c>
      <c r="CE39" s="23">
        <v>3.2328964967901963</v>
      </c>
      <c r="CF39" s="23">
        <v>1.5027680652680653</v>
      </c>
      <c r="CG39" s="23">
        <f t="shared" si="7"/>
        <v>0.40730878433755402</v>
      </c>
      <c r="CH39" s="26">
        <v>13.72</v>
      </c>
      <c r="CI39" s="26">
        <v>18.02</v>
      </c>
      <c r="CJ39" s="26">
        <v>1.1373541113707328</v>
      </c>
      <c r="CK39" s="26">
        <v>1.2557547866430441</v>
      </c>
      <c r="CL39" s="26">
        <v>-0.23862375138734734</v>
      </c>
      <c r="CM39" s="27">
        <v>14.834099616858232</v>
      </c>
      <c r="CN39" s="27">
        <v>-0.20282902322516949</v>
      </c>
      <c r="CO39" s="27">
        <v>8.3248809523809495</v>
      </c>
      <c r="CP39" s="27">
        <v>-0.18740286930882333</v>
      </c>
      <c r="CQ39" s="27">
        <v>73.031538461538446</v>
      </c>
      <c r="CR39" s="27">
        <v>2.494318825872599E-2</v>
      </c>
      <c r="CS39" s="27">
        <v>0.8023754789272034</v>
      </c>
      <c r="CT39" s="27">
        <v>0.83494252873563157</v>
      </c>
      <c r="CU39" s="27">
        <v>-3.9005139500733109E-2</v>
      </c>
      <c r="CV39" s="27">
        <v>0.96896551724137914</v>
      </c>
      <c r="CW39" s="27">
        <v>1.9863083220061237</v>
      </c>
      <c r="CX39" s="28">
        <v>0.62</v>
      </c>
      <c r="CY39" s="28">
        <v>0.54</v>
      </c>
      <c r="CZ39" s="29">
        <v>18.565019159999999</v>
      </c>
      <c r="DA39" s="27">
        <v>-0.24416841623821645</v>
      </c>
      <c r="DB39" s="27">
        <v>1.1698744465812936</v>
      </c>
      <c r="DC39" s="27">
        <v>1.7682050254071211</v>
      </c>
      <c r="DD39" s="27">
        <v>1</v>
      </c>
      <c r="DE39" s="27">
        <v>1.4</v>
      </c>
      <c r="DF39" s="27">
        <v>104.8</v>
      </c>
      <c r="DG39" s="28">
        <v>4.6520537718869415</v>
      </c>
      <c r="DH39" s="27">
        <v>1.03712</v>
      </c>
      <c r="DI39" s="27">
        <v>4.3</v>
      </c>
      <c r="DJ39" s="27">
        <v>-0.5</v>
      </c>
      <c r="DK39" s="27">
        <v>1.3</v>
      </c>
      <c r="DL39" s="27">
        <v>1.2152522197973097E-2</v>
      </c>
      <c r="DM39" s="27">
        <v>0.72770000000000001</v>
      </c>
      <c r="DN39" s="28">
        <v>0.77380000000000004</v>
      </c>
      <c r="DO39" s="28">
        <v>3.3939070016034328E-2</v>
      </c>
      <c r="DP39" s="28">
        <f>(DM39-DM38)/DM38</f>
        <v>-3.9973614775725586E-2</v>
      </c>
      <c r="DQ39" s="27">
        <v>5.8499999999999996E-2</v>
      </c>
      <c r="DR39" s="27">
        <v>1.50675227484701E-2</v>
      </c>
      <c r="DS39" s="27">
        <v>3.1335239457349999E-2</v>
      </c>
      <c r="DT39" s="27">
        <v>2.0079372103467861E-2</v>
      </c>
      <c r="DU39" s="30">
        <v>7.3719619999999999</v>
      </c>
      <c r="DV39">
        <v>1.5</v>
      </c>
      <c r="DW39">
        <v>2.1</v>
      </c>
      <c r="DX39">
        <v>105.4</v>
      </c>
      <c r="DY39">
        <v>105.7</v>
      </c>
      <c r="DZ39">
        <v>0.2</v>
      </c>
      <c r="EA39">
        <v>0.8</v>
      </c>
      <c r="EB39">
        <v>1.343728</v>
      </c>
    </row>
    <row r="40" spans="1:132" ht="18">
      <c r="A40" s="14" t="s">
        <v>140</v>
      </c>
      <c r="B40" s="14">
        <v>13</v>
      </c>
      <c r="C40" s="14" t="s">
        <v>141</v>
      </c>
      <c r="D40" s="14" t="s">
        <v>142</v>
      </c>
      <c r="E40" s="14" t="s">
        <v>143</v>
      </c>
      <c r="F40" s="15">
        <v>17766</v>
      </c>
      <c r="G40" s="15">
        <v>4.2495896577729431</v>
      </c>
      <c r="H40" s="15">
        <v>14984</v>
      </c>
      <c r="I40" s="15">
        <v>513</v>
      </c>
      <c r="J40" s="15">
        <v>2269</v>
      </c>
      <c r="K40" s="16">
        <v>1</v>
      </c>
      <c r="L40" s="17">
        <v>0.25295440954523452</v>
      </c>
      <c r="M40" s="18">
        <v>100</v>
      </c>
      <c r="N40" s="18">
        <v>73</v>
      </c>
      <c r="O40" s="18">
        <v>0.91744311002468082</v>
      </c>
      <c r="P40" s="18">
        <v>3</v>
      </c>
      <c r="Q40" s="18">
        <f t="shared" si="15"/>
        <v>2.6666666666666665</v>
      </c>
      <c r="R40" s="18">
        <v>100</v>
      </c>
      <c r="S40" s="18">
        <v>5</v>
      </c>
      <c r="T40" s="34">
        <v>26433</v>
      </c>
      <c r="U40" s="19">
        <v>4.4221464559621255</v>
      </c>
      <c r="V40" s="20">
        <v>63700</v>
      </c>
      <c r="W40" s="20">
        <v>4.8041394323353508</v>
      </c>
      <c r="X40" s="20">
        <v>0.53579839849269906</v>
      </c>
      <c r="Y40" s="20">
        <v>0.71321880270000004</v>
      </c>
      <c r="Z40" s="20">
        <f t="shared" si="3"/>
        <v>-0.1467772159717049</v>
      </c>
      <c r="AA40" s="20">
        <v>0.4823293173</v>
      </c>
      <c r="AB40" s="20">
        <v>1201</v>
      </c>
      <c r="AC40" s="20">
        <v>30846</v>
      </c>
      <c r="AD40" s="21">
        <v>17207</v>
      </c>
      <c r="AE40" s="21">
        <f t="shared" si="0"/>
        <v>0.24499530142096421</v>
      </c>
      <c r="AF40" s="21">
        <f t="shared" si="14"/>
        <v>4.2357051587054544</v>
      </c>
      <c r="AG40" s="22">
        <v>5.0887034769484862E-2</v>
      </c>
      <c r="AH40" s="22"/>
      <c r="AI40" s="22">
        <v>4.6196458600000003</v>
      </c>
      <c r="AJ40" s="23">
        <v>118888</v>
      </c>
      <c r="AK40" s="23">
        <f t="shared" si="10"/>
        <v>5.075138021172199</v>
      </c>
      <c r="AL40" s="24">
        <v>0.62579606524775677</v>
      </c>
      <c r="AM40" s="22">
        <f>34513+15503</f>
        <v>50016</v>
      </c>
      <c r="AN40" s="22">
        <f>AM40/AR40</f>
        <v>0.71213372440698242</v>
      </c>
      <c r="AO40" s="23">
        <v>8.1512346409716135E-2</v>
      </c>
      <c r="AP40" s="33">
        <v>7.1126720000000004E-2</v>
      </c>
      <c r="AQ40" s="23">
        <v>0.8520327817226625</v>
      </c>
      <c r="AR40" s="23">
        <v>70234</v>
      </c>
      <c r="AS40" s="23">
        <v>4.8465474032654736</v>
      </c>
      <c r="AT40" s="23">
        <v>4.710261259520343</v>
      </c>
      <c r="AU40" s="22">
        <v>1.3460000000000001</v>
      </c>
      <c r="AV40" s="22">
        <v>1.068354931</v>
      </c>
      <c r="AW40" s="22">
        <v>93.4</v>
      </c>
      <c r="AX40" s="22">
        <v>84.3</v>
      </c>
      <c r="AY40" s="22">
        <v>2</v>
      </c>
      <c r="AZ40" s="24">
        <v>42239</v>
      </c>
      <c r="BA40" s="24">
        <f t="shared" si="5"/>
        <v>4.6257136278112014</v>
      </c>
      <c r="BB40" s="24">
        <v>19516</v>
      </c>
      <c r="BC40" s="24">
        <f t="shared" si="6"/>
        <v>4.290390809440229</v>
      </c>
      <c r="BD40" s="24">
        <v>22723</v>
      </c>
      <c r="BE40" s="23">
        <v>3443</v>
      </c>
      <c r="BF40" s="23">
        <f t="shared" si="16"/>
        <v>128.5</v>
      </c>
      <c r="BG40" s="23">
        <v>8.0665411173885745E-2</v>
      </c>
      <c r="BH40" s="23">
        <v>4.9021841273457302E-2</v>
      </c>
      <c r="BI40" s="23">
        <v>6.2084689284252779E-2</v>
      </c>
      <c r="BJ40" s="23">
        <v>2.8073292118489041E-2</v>
      </c>
      <c r="BK40" s="23">
        <v>-0.21040369471751147</v>
      </c>
      <c r="BL40" s="23">
        <v>3186</v>
      </c>
      <c r="BM40" s="22">
        <v>5810</v>
      </c>
      <c r="BN40" s="22">
        <f>STDEVP(BM39:BM40)</f>
        <v>319.5</v>
      </c>
      <c r="BO40" s="22">
        <v>3.7641761323903307</v>
      </c>
      <c r="BP40" s="22">
        <v>0.13755060489121429</v>
      </c>
      <c r="BQ40" s="22">
        <v>4.3905127451813186E-3</v>
      </c>
      <c r="BR40" s="22">
        <v>7.3928379901642555E-3</v>
      </c>
      <c r="BS40" s="22">
        <v>-15539</v>
      </c>
      <c r="BT40" s="22">
        <v>4.1914230666878076</v>
      </c>
      <c r="BU40" s="22">
        <v>0.2212461201127659</v>
      </c>
      <c r="BV40" s="23">
        <v>5803</v>
      </c>
      <c r="BW40" s="22">
        <v>21600</v>
      </c>
      <c r="BX40" s="22">
        <v>113</v>
      </c>
      <c r="BY40" s="22">
        <v>2.0530784434834195</v>
      </c>
      <c r="BZ40" s="25">
        <v>0.10838646395291807</v>
      </c>
      <c r="CA40" s="23">
        <v>3.2328964967901963</v>
      </c>
      <c r="CB40" s="23">
        <v>323.28964967901965</v>
      </c>
      <c r="CC40" s="23">
        <v>2.5095918006237943</v>
      </c>
      <c r="CD40" s="23">
        <v>6.2008976810073415</v>
      </c>
      <c r="CE40" s="23">
        <v>4.1302630899999997</v>
      </c>
      <c r="CF40" s="23">
        <v>1.3295367429635307</v>
      </c>
      <c r="CG40" s="23">
        <f t="shared" si="7"/>
        <v>0.28483056799714906</v>
      </c>
      <c r="CH40" s="26">
        <v>19.2</v>
      </c>
      <c r="CI40" s="26">
        <v>13.72</v>
      </c>
      <c r="CJ40" s="26">
        <v>1.2833012287035497</v>
      </c>
      <c r="CK40" s="26">
        <v>1.1373541113707328</v>
      </c>
      <c r="CL40" s="26">
        <v>0.39941690962099113</v>
      </c>
      <c r="CM40" s="27">
        <v>14.883180076628348</v>
      </c>
      <c r="CN40" s="27">
        <v>3.3086241186042575E-3</v>
      </c>
      <c r="CO40" s="27">
        <v>6.9159523809523806</v>
      </c>
      <c r="CP40" s="27">
        <v>-0.16924308941926786</v>
      </c>
      <c r="CQ40" s="27">
        <v>64.583076923076902</v>
      </c>
      <c r="CR40" s="27">
        <v>-0.11568237115682381</v>
      </c>
      <c r="CS40" s="27">
        <v>0.66574712643678124</v>
      </c>
      <c r="CT40" s="27">
        <v>0.8023754789272034</v>
      </c>
      <c r="CU40" s="27">
        <v>-0.1702798204564997</v>
      </c>
      <c r="CV40" s="27">
        <v>0.67685823754789287</v>
      </c>
      <c r="CW40" s="27">
        <v>1.8304977187626064</v>
      </c>
      <c r="CX40" s="28">
        <v>1.33</v>
      </c>
      <c r="CY40" s="28">
        <v>0.62</v>
      </c>
      <c r="CZ40" s="29">
        <v>18.278045980000002</v>
      </c>
      <c r="DA40" s="27">
        <v>-1.5457736807420394E-2</v>
      </c>
      <c r="DC40" s="27">
        <v>1.1698744465812936</v>
      </c>
      <c r="DD40" s="27">
        <v>1</v>
      </c>
      <c r="DE40" s="27">
        <v>1</v>
      </c>
      <c r="DF40" s="27">
        <v>106.6</v>
      </c>
      <c r="DG40" s="28">
        <v>4.6690835117317437</v>
      </c>
      <c r="DH40" s="27">
        <v>1.04853</v>
      </c>
      <c r="DI40" s="27">
        <v>4.3</v>
      </c>
      <c r="DJ40" s="27">
        <v>-0.6</v>
      </c>
      <c r="DK40" s="27">
        <v>1</v>
      </c>
      <c r="DL40" s="27">
        <v>1.7108786898118553E-2</v>
      </c>
      <c r="DM40" s="27">
        <v>0.8266</v>
      </c>
      <c r="DN40" s="28">
        <v>0.75860000000000005</v>
      </c>
      <c r="DO40" s="28">
        <v>-1.9643318686999211E-2</v>
      </c>
      <c r="DP40" s="28">
        <f t="shared" si="18"/>
        <v>0.13590765425312626</v>
      </c>
      <c r="DQ40" s="27">
        <v>0.10860000000000003</v>
      </c>
      <c r="DR40" s="27">
        <v>3.1335239457349999E-2</v>
      </c>
      <c r="DS40" s="27">
        <v>2.7611694356583942E-2</v>
      </c>
      <c r="DT40" s="27">
        <v>1.50675227484701E-2</v>
      </c>
      <c r="DU40" s="30">
        <v>6.1553740000000001</v>
      </c>
      <c r="DV40">
        <v>1.6</v>
      </c>
      <c r="DW40">
        <v>2.2999999999999998</v>
      </c>
      <c r="DX40">
        <v>107</v>
      </c>
      <c r="DY40">
        <v>107.5</v>
      </c>
      <c r="DZ40">
        <v>0.4</v>
      </c>
      <c r="EA40">
        <v>1.1000000000000001</v>
      </c>
      <c r="EB40">
        <v>1.4054869999999999</v>
      </c>
    </row>
    <row r="41" spans="1:132" ht="18">
      <c r="A41" s="14" t="s">
        <v>144</v>
      </c>
      <c r="B41" s="14">
        <v>1</v>
      </c>
      <c r="C41" s="14" t="s">
        <v>133</v>
      </c>
      <c r="D41" s="14" t="s">
        <v>134</v>
      </c>
      <c r="E41" s="14" t="s">
        <v>145</v>
      </c>
      <c r="F41" s="15">
        <v>1547</v>
      </c>
      <c r="G41" s="15">
        <v>3.1894903136993675</v>
      </c>
      <c r="H41" s="15">
        <v>944</v>
      </c>
      <c r="I41" s="15">
        <v>5</v>
      </c>
      <c r="J41" s="15">
        <v>598</v>
      </c>
      <c r="K41" s="16">
        <v>1</v>
      </c>
      <c r="L41" s="17">
        <v>0.10127659574468086</v>
      </c>
      <c r="M41" s="18">
        <v>140</v>
      </c>
      <c r="N41" s="18">
        <v>82</v>
      </c>
      <c r="O41" s="18">
        <v>0.96574266944399934</v>
      </c>
      <c r="P41" s="18">
        <v>3</v>
      </c>
      <c r="Q41" s="18">
        <f t="shared" si="15"/>
        <v>2.6666666666666665</v>
      </c>
      <c r="R41" s="18">
        <v>140</v>
      </c>
      <c r="S41" s="18">
        <v>5</v>
      </c>
      <c r="T41" s="19">
        <v>4714</v>
      </c>
      <c r="U41" s="19">
        <v>3.673389578188305</v>
      </c>
      <c r="V41" s="20">
        <v>58829.341999999997</v>
      </c>
      <c r="W41" s="20">
        <v>4.7695939908765297</v>
      </c>
      <c r="X41" s="20">
        <v>0.63800000000000001</v>
      </c>
      <c r="Y41" s="20"/>
      <c r="Z41" s="20"/>
      <c r="AA41" s="20">
        <v>0.47048300539999999</v>
      </c>
      <c r="AB41" s="20">
        <v>263</v>
      </c>
      <c r="AC41" s="20"/>
      <c r="AE41" s="21"/>
      <c r="AF41" s="21"/>
      <c r="AG41" s="22">
        <v>8.7070376432078558E-3</v>
      </c>
      <c r="AH41" s="22">
        <v>133</v>
      </c>
      <c r="AI41" s="22">
        <v>3.4609789659999999</v>
      </c>
      <c r="AJ41" s="23">
        <v>92209</v>
      </c>
      <c r="AK41" s="23">
        <f t="shared" si="10"/>
        <v>4.9647733121553674</v>
      </c>
      <c r="AL41" s="24">
        <v>0.34776835099999998</v>
      </c>
      <c r="AM41" s="22">
        <f>10672+4603</f>
        <v>15275</v>
      </c>
      <c r="AN41" s="22">
        <f t="shared" ref="AN41:AN65" si="19">AM41/AR41</f>
        <v>1</v>
      </c>
      <c r="AO41" s="23">
        <v>9.4651420140169681E-2</v>
      </c>
      <c r="AP41" s="23">
        <v>4.2764549047279027E-2</v>
      </c>
      <c r="AQ41" s="23">
        <v>0.63108389674837717</v>
      </c>
      <c r="AR41" s="23">
        <v>15275</v>
      </c>
      <c r="AS41" s="23">
        <v>4.1839812189145915</v>
      </c>
      <c r="AT41" s="23">
        <f>LOG(17095)</f>
        <v>4.2328691051326137</v>
      </c>
      <c r="AU41" s="22">
        <v>1.4059999999999999</v>
      </c>
      <c r="AV41" s="22">
        <v>1.453508944</v>
      </c>
      <c r="AW41" s="22">
        <v>17.606000000000002</v>
      </c>
      <c r="AX41" s="22"/>
      <c r="AY41" s="22">
        <v>1</v>
      </c>
      <c r="AZ41" s="24">
        <v>13555</v>
      </c>
      <c r="BA41" s="24">
        <f t="shared" si="5"/>
        <v>4.132099521916504</v>
      </c>
      <c r="BB41" s="24">
        <v>6442</v>
      </c>
      <c r="BC41" s="24">
        <f t="shared" si="6"/>
        <v>3.8090207204836726</v>
      </c>
      <c r="BD41" s="24">
        <v>7113</v>
      </c>
      <c r="BE41" s="23">
        <v>1283</v>
      </c>
      <c r="BF41" s="23">
        <v>575.5</v>
      </c>
      <c r="BG41" s="23">
        <v>8.7196969696969688</v>
      </c>
      <c r="BH41" s="23">
        <v>8.3993453355155484E-2</v>
      </c>
      <c r="BI41" s="23">
        <v>4.5627376425855515E-2</v>
      </c>
      <c r="BJ41" s="23">
        <v>3.0282916868052148E-2</v>
      </c>
      <c r="BK41" s="23">
        <v>0.84085651936715766</v>
      </c>
      <c r="BL41" s="23">
        <v>132</v>
      </c>
      <c r="BM41" s="22">
        <v>1641</v>
      </c>
      <c r="BN41" s="22"/>
      <c r="BO41" s="22">
        <v>3.2151085810530931</v>
      </c>
      <c r="BP41" s="22">
        <v>0.12106233862043526</v>
      </c>
      <c r="BQ41" s="22">
        <v>4.8642722818831446E-3</v>
      </c>
      <c r="BR41" s="22"/>
      <c r="BS41" s="22">
        <v>2080</v>
      </c>
      <c r="BT41" s="22">
        <v>3.3180633349627615</v>
      </c>
      <c r="BU41" s="22">
        <v>0.13617021276595745</v>
      </c>
      <c r="BV41" s="23">
        <v>1703</v>
      </c>
      <c r="BW41" s="22">
        <v>7394</v>
      </c>
      <c r="BX41" s="22">
        <v>17.41</v>
      </c>
      <c r="BY41" s="22">
        <v>1.2407987711173312</v>
      </c>
      <c r="BZ41" s="25">
        <v>8.1065431383903052E-3</v>
      </c>
      <c r="CA41" s="23">
        <v>2.9544256569681925E-2</v>
      </c>
      <c r="CB41" s="23">
        <v>2.9544256569681924</v>
      </c>
      <c r="CC41" s="23">
        <v>0.47047306618073892</v>
      </c>
      <c r="CD41" s="23">
        <v>9.8959300000000007E-3</v>
      </c>
      <c r="CE41" s="23">
        <v>3.4701428118871877E-2</v>
      </c>
      <c r="CF41" s="23">
        <v>1.3746609841146842</v>
      </c>
      <c r="CG41" s="23">
        <f t="shared" si="7"/>
        <v>0.31820714371085623</v>
      </c>
      <c r="CH41" s="26">
        <v>28.62</v>
      </c>
      <c r="CI41" s="26">
        <v>23.8</v>
      </c>
      <c r="CJ41" s="26">
        <v>1.4566696294237576</v>
      </c>
      <c r="CK41" s="26">
        <v>1.3765769570565121</v>
      </c>
      <c r="CL41" s="26">
        <v>0.20252100840336135</v>
      </c>
      <c r="CM41" s="27">
        <v>28.164291187739472</v>
      </c>
      <c r="CN41" s="27">
        <v>5.6821432935815153E-2</v>
      </c>
      <c r="CQ41" s="27">
        <v>125.09884615384618</v>
      </c>
      <c r="CR41" s="27">
        <v>0.13726223776223803</v>
      </c>
      <c r="CS41" s="27">
        <v>0.92386973180076593</v>
      </c>
      <c r="CT41" s="27">
        <v>1.0645593900000001</v>
      </c>
      <c r="CU41" s="27">
        <v>-0.12842478132003218</v>
      </c>
      <c r="CX41" s="28">
        <v>0.76</v>
      </c>
      <c r="CY41" s="28">
        <v>0.82</v>
      </c>
      <c r="CZ41" s="29">
        <v>37.275402300000003</v>
      </c>
      <c r="DA41" s="27">
        <v>0.32652677224199295</v>
      </c>
      <c r="DB41" s="27">
        <v>2.5105365885464708</v>
      </c>
      <c r="DC41" s="27">
        <v>1.25643310503606</v>
      </c>
      <c r="DD41" s="27">
        <v>1</v>
      </c>
      <c r="DE41" s="27">
        <v>1.5</v>
      </c>
      <c r="DF41" s="27">
        <v>87.3</v>
      </c>
      <c r="DG41" s="28">
        <v>4.4693504628455569</v>
      </c>
      <c r="DH41" s="27">
        <v>0.88536000000000004</v>
      </c>
      <c r="DI41" s="27">
        <v>2.5</v>
      </c>
      <c r="DJ41" s="27">
        <v>2.7</v>
      </c>
      <c r="DK41" s="27">
        <v>2.2999999999999998</v>
      </c>
      <c r="DL41" s="27">
        <v>1.1731637610823707E-2</v>
      </c>
      <c r="DM41" s="27">
        <v>0.95289999999999997</v>
      </c>
      <c r="DN41" s="28">
        <v>1.1605000000000001</v>
      </c>
      <c r="DO41" s="28">
        <v>9.3264248704663183E-2</v>
      </c>
      <c r="DP41" s="28">
        <f>(DM41-1.1242)/1.1242</f>
        <v>-0.15237502223803603</v>
      </c>
      <c r="DQ41" s="27">
        <v>0.20879999999999999</v>
      </c>
      <c r="DR41" s="27">
        <v>6.0688564775993471E-2</v>
      </c>
      <c r="DS41" s="27">
        <v>3.9305854754660308E-2</v>
      </c>
      <c r="DT41" s="27">
        <v>3.268886E-2</v>
      </c>
      <c r="DU41" s="30">
        <v>5.7817160000000003</v>
      </c>
      <c r="DV41">
        <v>0.9</v>
      </c>
      <c r="DW41">
        <v>2.8</v>
      </c>
      <c r="DX41">
        <v>84</v>
      </c>
      <c r="DY41">
        <v>80.900000000000006</v>
      </c>
      <c r="DZ41">
        <v>2.2000000000000002</v>
      </c>
      <c r="EA41">
        <v>3</v>
      </c>
      <c r="EB41">
        <v>1.701892</v>
      </c>
    </row>
    <row r="42" spans="1:132" ht="18">
      <c r="A42" s="14" t="s">
        <v>144</v>
      </c>
      <c r="B42" s="14">
        <v>2</v>
      </c>
      <c r="C42" s="14" t="s">
        <v>133</v>
      </c>
      <c r="D42" s="14" t="s">
        <v>134</v>
      </c>
      <c r="E42" s="14" t="s">
        <v>145</v>
      </c>
      <c r="F42" s="15">
        <v>2209</v>
      </c>
      <c r="G42" s="15">
        <v>3.344195715871435</v>
      </c>
      <c r="H42" s="15">
        <v>713</v>
      </c>
      <c r="I42" s="15">
        <v>0</v>
      </c>
      <c r="J42" s="15">
        <v>1496</v>
      </c>
      <c r="K42" s="16">
        <v>1</v>
      </c>
      <c r="L42" s="17">
        <v>0.15442153093324013</v>
      </c>
      <c r="M42" s="18">
        <v>140</v>
      </c>
      <c r="N42" s="18">
        <v>82</v>
      </c>
      <c r="O42" s="18">
        <v>0.96574266944399934</v>
      </c>
      <c r="P42" s="18">
        <v>3</v>
      </c>
      <c r="Q42" s="18">
        <f t="shared" si="15"/>
        <v>2.6666666666666665</v>
      </c>
      <c r="R42" s="18">
        <v>140</v>
      </c>
      <c r="S42" s="18">
        <v>5</v>
      </c>
      <c r="T42" s="19">
        <v>4255</v>
      </c>
      <c r="U42" s="19">
        <v>3.6288995644206068</v>
      </c>
      <c r="V42" s="20">
        <v>55822.41</v>
      </c>
      <c r="W42" s="20">
        <v>4.7468085821903721</v>
      </c>
      <c r="X42" s="20">
        <v>0.63</v>
      </c>
      <c r="Y42" s="20"/>
      <c r="Z42" s="20"/>
      <c r="AA42" s="20">
        <v>0.44980694980000002</v>
      </c>
      <c r="AB42" s="20">
        <v>233</v>
      </c>
      <c r="AC42" s="20"/>
      <c r="AE42" s="21"/>
      <c r="AF42" s="21"/>
      <c r="AG42" s="22">
        <v>9.0877315623907728E-3</v>
      </c>
      <c r="AH42" s="22">
        <v>130</v>
      </c>
      <c r="AI42" s="22">
        <v>3.6202321720000001</v>
      </c>
      <c r="AJ42" s="23">
        <v>88607</v>
      </c>
      <c r="AK42" s="23">
        <f t="shared" si="10"/>
        <v>4.9474680327367908</v>
      </c>
      <c r="AL42" s="24">
        <v>0.32404234300000001</v>
      </c>
      <c r="AM42" s="22">
        <f>10319+3986</f>
        <v>14305</v>
      </c>
      <c r="AN42" s="22">
        <f t="shared" si="19"/>
        <v>1</v>
      </c>
      <c r="AO42" s="23">
        <v>6.3894600563551895E-2</v>
      </c>
      <c r="AP42" s="33">
        <v>2.4508009999999998E-3</v>
      </c>
      <c r="AQ42" s="23">
        <v>-0.61069195113492891</v>
      </c>
      <c r="AR42" s="23">
        <v>14305</v>
      </c>
      <c r="AS42" s="23">
        <v>4.1554878621412819</v>
      </c>
      <c r="AT42" s="23">
        <v>4.1839812189145915</v>
      </c>
      <c r="AU42" s="22">
        <v>1.373</v>
      </c>
      <c r="AV42" s="22">
        <v>1.0644693199999999</v>
      </c>
      <c r="AW42" s="22">
        <v>17.463999999999999</v>
      </c>
      <c r="AX42" s="22">
        <v>17.606000000000002</v>
      </c>
      <c r="AY42" s="22">
        <v>1</v>
      </c>
      <c r="AZ42" s="24">
        <v>13131</v>
      </c>
      <c r="BA42" s="24">
        <f t="shared" si="5"/>
        <v>4.1182978013327762</v>
      </c>
      <c r="BB42" s="24">
        <v>5983</v>
      </c>
      <c r="BC42" s="24">
        <f t="shared" si="6"/>
        <v>3.7769190028420465</v>
      </c>
      <c r="BD42" s="24">
        <v>7148</v>
      </c>
      <c r="BE42" s="23">
        <v>839</v>
      </c>
      <c r="BF42" s="23">
        <f>STDEVP(BE41:BE42)</f>
        <v>222</v>
      </c>
      <c r="BG42" s="23">
        <v>-0.34606391270459858</v>
      </c>
      <c r="BH42" s="23">
        <v>5.8650821391121988E-2</v>
      </c>
      <c r="BI42" s="23">
        <v>8.3993453355155484E-2</v>
      </c>
      <c r="BJ42" s="23">
        <v>3.0282916868052148E-2</v>
      </c>
      <c r="BK42" s="23">
        <v>-0.30172151461466223</v>
      </c>
      <c r="BL42" s="23">
        <v>1283</v>
      </c>
      <c r="BM42" s="22">
        <v>1653</v>
      </c>
      <c r="BN42" s="22">
        <f>STDEVP(BM41:BM42)</f>
        <v>6</v>
      </c>
      <c r="BO42" s="22">
        <v>3.2182728535714475</v>
      </c>
      <c r="BP42" s="22">
        <v>0.12588530957276672</v>
      </c>
      <c r="BQ42" s="22">
        <v>2.4114854761657298E-3</v>
      </c>
      <c r="BR42" s="22">
        <v>4.8642722818831446E-3</v>
      </c>
      <c r="BS42" s="22">
        <v>-1442</v>
      </c>
      <c r="BT42" s="22">
        <v>3.1589652603834102</v>
      </c>
      <c r="BU42" s="22">
        <v>0.10080391471513457</v>
      </c>
      <c r="BV42" s="23">
        <v>1697</v>
      </c>
      <c r="BW42" s="23">
        <v>5135</v>
      </c>
      <c r="BX42" s="22">
        <v>19.21</v>
      </c>
      <c r="BY42" s="22">
        <v>1.2835273648616936</v>
      </c>
      <c r="BZ42" s="25">
        <v>0.10338885697874789</v>
      </c>
      <c r="CA42" s="23">
        <v>3.4701428118871877E-2</v>
      </c>
      <c r="CB42" s="23">
        <v>3.4701428118871878</v>
      </c>
      <c r="CC42" s="23">
        <v>0.54034734831775799</v>
      </c>
      <c r="CD42" s="23">
        <v>2.9544256569681925E-2</v>
      </c>
      <c r="CE42" s="23">
        <v>2.8415681358366092E-2</v>
      </c>
      <c r="CF42" s="23">
        <v>1.3148901545972336</v>
      </c>
      <c r="CG42" s="23">
        <f t="shared" si="7"/>
        <v>0.27375312951500591</v>
      </c>
      <c r="CH42" s="26">
        <v>18.309999999999999</v>
      </c>
      <c r="CI42" s="26">
        <v>28.62</v>
      </c>
      <c r="CJ42" s="26">
        <v>1.2626883443016965</v>
      </c>
      <c r="CK42" s="26">
        <v>1.4566696294237576</v>
      </c>
      <c r="CL42" s="26">
        <v>-0.36023759608665273</v>
      </c>
      <c r="CM42" s="27">
        <v>22.615402298850572</v>
      </c>
      <c r="CN42" s="27">
        <v>-0.19701858825065877</v>
      </c>
      <c r="CQ42" s="27">
        <v>115.89653846153851</v>
      </c>
      <c r="CR42" s="27">
        <v>-7.3560292322686169E-2</v>
      </c>
      <c r="CS42" s="27">
        <v>0.92888888888888932</v>
      </c>
      <c r="CT42" s="27">
        <v>0.92386973180076604</v>
      </c>
      <c r="CU42" s="27">
        <v>5.4327541160378483E-3</v>
      </c>
      <c r="CX42" s="28">
        <v>0.66</v>
      </c>
      <c r="CY42" s="28">
        <v>0.76</v>
      </c>
      <c r="CZ42" s="29">
        <v>31.998965519999999</v>
      </c>
      <c r="DA42" s="27">
        <v>-0.14155277889515908</v>
      </c>
      <c r="DB42" s="27">
        <v>2.6347679627304119</v>
      </c>
      <c r="DC42" s="27">
        <v>2.5105365885464708</v>
      </c>
      <c r="DD42" s="27">
        <v>1</v>
      </c>
      <c r="DE42" s="27">
        <v>1.8</v>
      </c>
      <c r="DF42" s="27">
        <v>88.9</v>
      </c>
      <c r="DG42" s="28">
        <v>4.4875121425198587</v>
      </c>
      <c r="DH42" s="27">
        <v>0.90083999999999997</v>
      </c>
      <c r="DI42" s="27">
        <v>2.4</v>
      </c>
      <c r="DJ42" s="27">
        <v>2.2000000000000002</v>
      </c>
      <c r="DK42" s="27">
        <v>2</v>
      </c>
      <c r="DL42" s="27">
        <v>1.6216043547496031E-2</v>
      </c>
      <c r="DM42" s="27">
        <v>0.79400000000000004</v>
      </c>
      <c r="DN42" s="28">
        <v>1.1231</v>
      </c>
      <c r="DO42" s="28">
        <v>-3.2227488151658851E-2</v>
      </c>
      <c r="DP42" s="28">
        <f>(DM42-DM41)/DM41</f>
        <v>-0.16675411900514214</v>
      </c>
      <c r="DQ42" s="27">
        <v>0.17130000000000001</v>
      </c>
      <c r="DR42" s="27">
        <v>3.9305854754660308E-2</v>
      </c>
      <c r="DS42" s="27">
        <v>2.6867542601332471E-2</v>
      </c>
      <c r="DT42" s="27">
        <v>6.0688564775993471E-2</v>
      </c>
      <c r="DU42" s="30">
        <v>5.9865389999999996</v>
      </c>
      <c r="DV42">
        <v>0.9</v>
      </c>
      <c r="DW42">
        <v>2.8</v>
      </c>
      <c r="DX42">
        <v>85.7</v>
      </c>
      <c r="DY42">
        <v>82.9</v>
      </c>
      <c r="DZ42">
        <v>2.4</v>
      </c>
      <c r="EA42">
        <v>2</v>
      </c>
      <c r="EB42">
        <v>1.4781599999999999</v>
      </c>
    </row>
    <row r="43" spans="1:132" ht="18">
      <c r="A43" s="14" t="s">
        <v>144</v>
      </c>
      <c r="B43" s="14">
        <v>3</v>
      </c>
      <c r="C43" s="14" t="s">
        <v>133</v>
      </c>
      <c r="D43" s="14" t="s">
        <v>134</v>
      </c>
      <c r="E43" s="14" t="s">
        <v>145</v>
      </c>
      <c r="F43" s="15">
        <v>2288</v>
      </c>
      <c r="G43" s="15">
        <v>3.3594560201209864</v>
      </c>
      <c r="H43" s="15">
        <v>662</v>
      </c>
      <c r="I43" s="15">
        <v>7</v>
      </c>
      <c r="J43" s="15">
        <v>1619</v>
      </c>
      <c r="K43" s="16">
        <v>1</v>
      </c>
      <c r="L43" s="17">
        <v>0.14229740655513404</v>
      </c>
      <c r="M43" s="18">
        <v>140</v>
      </c>
      <c r="N43" s="18">
        <v>82</v>
      </c>
      <c r="O43" s="18">
        <v>0.96574266944399934</v>
      </c>
      <c r="P43" s="18">
        <v>3</v>
      </c>
      <c r="Q43" s="18">
        <f t="shared" si="15"/>
        <v>2.6666666666666665</v>
      </c>
      <c r="R43" s="18">
        <v>140</v>
      </c>
      <c r="S43" s="18">
        <v>5</v>
      </c>
      <c r="T43" s="19">
        <v>4177</v>
      </c>
      <c r="U43" s="19">
        <v>3.6208644752651211</v>
      </c>
      <c r="V43" s="20">
        <v>61629.074000000001</v>
      </c>
      <c r="W43" s="20">
        <v>4.7897856423418794</v>
      </c>
      <c r="X43" s="20">
        <v>0.68898561191293362</v>
      </c>
      <c r="Y43" s="20"/>
      <c r="Z43" s="20"/>
      <c r="AA43" s="20">
        <v>0.3810483871</v>
      </c>
      <c r="AB43" s="20">
        <v>189</v>
      </c>
      <c r="AC43" s="20"/>
      <c r="AD43" s="31">
        <v>0.6243245262345295</v>
      </c>
      <c r="AE43" s="21">
        <f>AD43/AR43</f>
        <v>3.8828566840881242E-5</v>
      </c>
      <c r="AF43" s="21">
        <f>LOG(AD43)</f>
        <v>-0.20458960372145116</v>
      </c>
      <c r="AG43" s="22">
        <v>7.8363082281236399E-3</v>
      </c>
      <c r="AH43" s="22">
        <v>126</v>
      </c>
      <c r="AI43" s="22">
        <v>4.28031015</v>
      </c>
      <c r="AJ43" s="23">
        <v>89449</v>
      </c>
      <c r="AK43" s="23">
        <f t="shared" si="10"/>
        <v>4.9515754897115585</v>
      </c>
      <c r="AL43" s="24">
        <v>0.34034058499999997</v>
      </c>
      <c r="AM43" s="22">
        <f>7792+3781</f>
        <v>11573</v>
      </c>
      <c r="AN43" s="22">
        <f t="shared" si="19"/>
        <v>0.71975869146091176</v>
      </c>
      <c r="AO43" s="23">
        <v>5.1984029984518863E-2</v>
      </c>
      <c r="AP43" s="33">
        <v>6.11234E-3</v>
      </c>
      <c r="AQ43" s="23">
        <v>-0.21379249605262821</v>
      </c>
      <c r="AR43" s="23">
        <v>16079</v>
      </c>
      <c r="AS43" s="23">
        <v>4.2062590352092828</v>
      </c>
      <c r="AT43" s="23">
        <v>4.1554878621412819</v>
      </c>
      <c r="AU43" s="22">
        <v>2.165</v>
      </c>
      <c r="AV43" s="22">
        <v>0.96992481200000003</v>
      </c>
      <c r="AW43" s="22">
        <v>18.216999999999999</v>
      </c>
      <c r="AX43" s="22">
        <v>17.463999999999999</v>
      </c>
      <c r="AY43" s="22">
        <v>1</v>
      </c>
      <c r="AZ43" s="24">
        <v>12273</v>
      </c>
      <c r="BA43" s="24">
        <f t="shared" si="5"/>
        <v>4.0889507342180362</v>
      </c>
      <c r="BB43" s="24">
        <v>6223</v>
      </c>
      <c r="BC43" s="24">
        <f t="shared" si="6"/>
        <v>3.7939998009844706</v>
      </c>
      <c r="BD43" s="24">
        <v>6050</v>
      </c>
      <c r="BE43" s="23">
        <v>638</v>
      </c>
      <c r="BF43" s="23">
        <f t="shared" ref="BF43:BF53" si="20">STDEVP(BE42:BE43)</f>
        <v>100.5</v>
      </c>
      <c r="BG43" s="23">
        <v>-0.2395709177592372</v>
      </c>
      <c r="BH43" s="23">
        <v>3.9679084520181603E-2</v>
      </c>
      <c r="BI43" s="23">
        <v>5.8650821391121988E-2</v>
      </c>
      <c r="BJ43" s="23">
        <v>3.0282916868052148E-2</v>
      </c>
      <c r="BK43" s="23">
        <v>-0.32346924426555684</v>
      </c>
      <c r="BL43" s="23">
        <v>839</v>
      </c>
      <c r="BM43" s="22">
        <v>1694</v>
      </c>
      <c r="BN43" s="22">
        <f t="shared" ref="BN43:BN52" si="21">STDEVP(BM42:BM43)</f>
        <v>20.5</v>
      </c>
      <c r="BO43" s="22">
        <v>3.228913405994688</v>
      </c>
      <c r="BP43" s="22">
        <v>0.13802656237268801</v>
      </c>
      <c r="BQ43" s="22">
        <v>6.0706263999606436E-3</v>
      </c>
      <c r="BR43" s="22">
        <v>2.4114854761657298E-3</v>
      </c>
      <c r="BS43" s="22">
        <v>214</v>
      </c>
      <c r="BT43" s="22"/>
      <c r="BU43" s="22">
        <v>-1.3309285403321103E-2</v>
      </c>
      <c r="BV43" s="23">
        <v>1658</v>
      </c>
      <c r="BW43" s="22">
        <v>4128</v>
      </c>
      <c r="BX43" s="22">
        <v>21.94</v>
      </c>
      <c r="BY43" s="22">
        <v>1.3412366232386923</v>
      </c>
      <c r="BZ43" s="25">
        <v>0.14211348256116607</v>
      </c>
      <c r="CA43" s="23">
        <v>2.8415681358366092E-2</v>
      </c>
      <c r="CB43" s="23">
        <v>2.8415681358366092</v>
      </c>
      <c r="CC43" s="23">
        <v>0.45355807412809596</v>
      </c>
      <c r="CD43" s="23">
        <v>3.4701428118871877E-2</v>
      </c>
      <c r="CE43" s="23">
        <v>1.8091860620457454E-2</v>
      </c>
      <c r="CF43" s="23">
        <v>1.1792163543441225</v>
      </c>
      <c r="CG43" s="23">
        <f t="shared" si="7"/>
        <v>0.16485011137314731</v>
      </c>
      <c r="CH43" s="26">
        <v>13.29</v>
      </c>
      <c r="CI43" s="26">
        <v>18.309999999999999</v>
      </c>
      <c r="CJ43" s="26">
        <v>1.1235249809427319</v>
      </c>
      <c r="CK43" s="26">
        <v>1.2626883443016965</v>
      </c>
      <c r="CL43" s="26">
        <v>-0.27416712179137082</v>
      </c>
      <c r="CM43" s="27">
        <v>16.030268199233717</v>
      </c>
      <c r="CN43" s="27">
        <v>-0.29117917128326054</v>
      </c>
      <c r="CQ43" s="27">
        <v>102.09153846153851</v>
      </c>
      <c r="CR43" s="27">
        <v>-0.11911486040268011</v>
      </c>
      <c r="CS43" s="27">
        <v>0.9859003831417622</v>
      </c>
      <c r="CT43" s="27">
        <v>0.92888888888888899</v>
      </c>
      <c r="CU43" s="27">
        <v>6.1376010559312889E-2</v>
      </c>
      <c r="CV43" s="27">
        <v>1.140877862595419</v>
      </c>
      <c r="CW43" s="27">
        <v>2.0572391532349976</v>
      </c>
      <c r="CX43" s="28">
        <v>1.07</v>
      </c>
      <c r="CY43" s="28">
        <v>0.66</v>
      </c>
      <c r="CZ43" s="29">
        <v>18.886297710000001</v>
      </c>
      <c r="DA43" s="27">
        <v>-0.40978411635852152</v>
      </c>
      <c r="DB43" s="27">
        <v>266.87708664986224</v>
      </c>
      <c r="DC43" s="27">
        <v>2.6347679627304119</v>
      </c>
      <c r="DD43" s="27">
        <v>1</v>
      </c>
      <c r="DE43" s="27">
        <v>2</v>
      </c>
      <c r="DF43" s="27">
        <v>90.4</v>
      </c>
      <c r="DG43" s="28">
        <v>4.5042442673981311</v>
      </c>
      <c r="DH43" s="27">
        <v>0.91725999999999996</v>
      </c>
      <c r="DI43" s="27">
        <v>2.2999999999999998</v>
      </c>
      <c r="DJ43" s="27">
        <v>2.4</v>
      </c>
      <c r="DK43" s="27">
        <v>2.1</v>
      </c>
      <c r="DL43" s="27">
        <v>1.3035848693861207E-2</v>
      </c>
      <c r="DM43" s="27">
        <v>0.73780000000000001</v>
      </c>
      <c r="DN43" s="28">
        <v>0.95269999999999999</v>
      </c>
      <c r="DO43" s="28">
        <v>-0.15172290980322323</v>
      </c>
      <c r="DP43" s="28">
        <f t="shared" ref="DP43:DP53" si="22">(DM43-DM42)/DM42</f>
        <v>-7.0780856423173832E-2</v>
      </c>
      <c r="DQ43" s="27">
        <v>0.11370000000000002</v>
      </c>
      <c r="DR43" s="27">
        <v>2.6867542601332471E-2</v>
      </c>
      <c r="DS43" s="27">
        <v>3.2347817198611614E-2</v>
      </c>
      <c r="DT43" s="27">
        <v>3.9305854754660308E-2</v>
      </c>
      <c r="DU43" s="30">
        <v>5.5230399999999999</v>
      </c>
      <c r="DV43">
        <v>0.3</v>
      </c>
      <c r="DW43">
        <v>2.6</v>
      </c>
      <c r="DX43">
        <v>88</v>
      </c>
      <c r="DY43">
        <v>85.1</v>
      </c>
      <c r="DZ43">
        <v>2</v>
      </c>
      <c r="EA43">
        <v>1.5</v>
      </c>
      <c r="EB43">
        <v>1.913224</v>
      </c>
    </row>
    <row r="44" spans="1:132" ht="18">
      <c r="A44" s="14" t="s">
        <v>144</v>
      </c>
      <c r="B44" s="14">
        <v>4</v>
      </c>
      <c r="C44" s="14" t="s">
        <v>133</v>
      </c>
      <c r="D44" s="14" t="s">
        <v>134</v>
      </c>
      <c r="E44" s="14" t="s">
        <v>145</v>
      </c>
      <c r="F44" s="15">
        <v>1488</v>
      </c>
      <c r="G44" s="15">
        <v>3.1726029312098598</v>
      </c>
      <c r="H44" s="15">
        <v>853</v>
      </c>
      <c r="I44" s="15">
        <v>7</v>
      </c>
      <c r="J44" s="15">
        <v>478</v>
      </c>
      <c r="K44" s="16">
        <v>1</v>
      </c>
      <c r="L44" s="17">
        <v>8.8968609865470852E-2</v>
      </c>
      <c r="M44" s="18">
        <v>140</v>
      </c>
      <c r="N44" s="18">
        <v>82</v>
      </c>
      <c r="O44" s="18">
        <v>0.96574266944399934</v>
      </c>
      <c r="P44" s="18">
        <v>3</v>
      </c>
      <c r="Q44" s="18">
        <f t="shared" si="15"/>
        <v>2.6666666666666665</v>
      </c>
      <c r="R44" s="18">
        <v>140</v>
      </c>
      <c r="S44" s="18">
        <v>5</v>
      </c>
      <c r="T44" s="19">
        <v>4845</v>
      </c>
      <c r="U44" s="19">
        <v>3.6852937813867843</v>
      </c>
      <c r="V44" s="20">
        <v>55908.656000000003</v>
      </c>
      <c r="W44" s="20">
        <v>4.7474790522873018</v>
      </c>
      <c r="X44" s="20">
        <v>0.63400000000000001</v>
      </c>
      <c r="Y44" s="20"/>
      <c r="Z44" s="20"/>
      <c r="AA44" s="20">
        <v>0.47643097639999998</v>
      </c>
      <c r="AB44" s="20">
        <v>283</v>
      </c>
      <c r="AC44" s="20"/>
      <c r="AD44" s="31">
        <v>0.62579606524775677</v>
      </c>
      <c r="AE44" s="21">
        <f>AD44/AR44</f>
        <v>3.7416805097025819E-5</v>
      </c>
      <c r="AF44" s="21">
        <f>LOG(AD44)</f>
        <v>-0.20356717184907627</v>
      </c>
      <c r="AG44" s="22">
        <v>7.3542600896860984E-3</v>
      </c>
      <c r="AH44" s="22">
        <v>123</v>
      </c>
      <c r="AI44" s="22">
        <v>5.2647727270000004</v>
      </c>
      <c r="AJ44" s="23">
        <v>88184</v>
      </c>
      <c r="AK44" s="23">
        <f t="shared" si="10"/>
        <v>4.9453897944055694</v>
      </c>
      <c r="AL44" s="24">
        <v>0.37200552799999997</v>
      </c>
      <c r="AM44" s="22">
        <f>6544+4560</f>
        <v>11104</v>
      </c>
      <c r="AN44" s="22">
        <f t="shared" si="19"/>
        <v>0.66391629297458898</v>
      </c>
      <c r="AO44" s="23">
        <v>0.12830159705159705</v>
      </c>
      <c r="AP44" s="33">
        <v>1.818225E-2</v>
      </c>
      <c r="AQ44" s="23">
        <v>0.25964762487721865</v>
      </c>
      <c r="AR44" s="23">
        <v>16725</v>
      </c>
      <c r="AS44" s="23">
        <v>4.2233661264398608</v>
      </c>
      <c r="AT44" s="23">
        <v>4.2062590352092828</v>
      </c>
      <c r="AU44" s="22">
        <v>1.64</v>
      </c>
      <c r="AV44" s="22">
        <v>1.242613636</v>
      </c>
      <c r="AW44" s="22">
        <v>27.797999999999998</v>
      </c>
      <c r="AX44" s="22">
        <v>18.216999999999999</v>
      </c>
      <c r="AY44" s="22">
        <v>1</v>
      </c>
      <c r="AZ44" s="24">
        <v>13024</v>
      </c>
      <c r="BA44" s="24">
        <f t="shared" si="5"/>
        <v>4.1147443875451257</v>
      </c>
      <c r="BB44" s="24">
        <v>6644</v>
      </c>
      <c r="BC44" s="24">
        <f t="shared" si="6"/>
        <v>3.8224296237793567</v>
      </c>
      <c r="BD44" s="24">
        <v>6380</v>
      </c>
      <c r="BE44" s="23">
        <v>1671</v>
      </c>
      <c r="BF44" s="23">
        <f t="shared" si="20"/>
        <v>516.5</v>
      </c>
      <c r="BG44" s="23">
        <v>1.6191222570532915</v>
      </c>
      <c r="BH44" s="23">
        <v>9.9910313901345291E-2</v>
      </c>
      <c r="BI44" s="23">
        <v>3.9679084520181603E-2</v>
      </c>
      <c r="BJ44" s="23">
        <v>3.0282916868052148E-2</v>
      </c>
      <c r="BK44" s="23">
        <v>1.5179591492472273</v>
      </c>
      <c r="BL44" s="23">
        <v>638</v>
      </c>
      <c r="BM44" s="22">
        <v>1847</v>
      </c>
      <c r="BN44" s="22">
        <f t="shared" si="21"/>
        <v>76.5</v>
      </c>
      <c r="BO44" s="22">
        <v>3.2664668954402414</v>
      </c>
      <c r="BP44" s="22">
        <v>0.14181511056511056</v>
      </c>
      <c r="BQ44" s="22">
        <v>1.8942740962112764E-3</v>
      </c>
      <c r="BR44" s="22">
        <v>6.0706263999606436E-3</v>
      </c>
      <c r="BS44" s="22">
        <v>312</v>
      </c>
      <c r="BT44" s="22"/>
      <c r="BU44" s="22">
        <v>-1.8654708520179371E-2</v>
      </c>
      <c r="BV44" s="23">
        <v>1790</v>
      </c>
      <c r="BW44" s="22">
        <v>6561</v>
      </c>
      <c r="BX44" s="22">
        <v>30.04</v>
      </c>
      <c r="BY44" s="22">
        <v>1.4776999283321308</v>
      </c>
      <c r="BZ44" s="25">
        <v>0.36918869644484947</v>
      </c>
      <c r="CA44" s="23">
        <v>1.8091860620457454E-2</v>
      </c>
      <c r="CB44" s="23">
        <v>1.8091860620457454</v>
      </c>
      <c r="CC44" s="23">
        <v>0.25748323328572131</v>
      </c>
      <c r="CD44" s="23">
        <v>2.8415681358366092E-2</v>
      </c>
      <c r="CE44" s="23">
        <v>1.6391908430144698E-2</v>
      </c>
      <c r="CF44" s="23">
        <v>1.4208385481852315</v>
      </c>
      <c r="CG44" s="23">
        <f t="shared" si="7"/>
        <v>0.35124722421178578</v>
      </c>
      <c r="CH44" s="26">
        <v>12.07</v>
      </c>
      <c r="CI44" s="26">
        <v>13.29</v>
      </c>
      <c r="CJ44" s="26">
        <v>1.0817072700973491</v>
      </c>
      <c r="CK44" s="26">
        <v>1.1235249809427319</v>
      </c>
      <c r="CL44" s="26">
        <v>-9.1798344620014974E-2</v>
      </c>
      <c r="CM44" s="27">
        <v>13.248115384615385</v>
      </c>
      <c r="CN44" s="27">
        <v>-0.17355622376619531</v>
      </c>
      <c r="CQ44" s="27">
        <v>81.715444015443992</v>
      </c>
      <c r="CR44" s="27">
        <v>-0.1995865157206041</v>
      </c>
      <c r="CS44" s="27">
        <v>0.91873076923076902</v>
      </c>
      <c r="CT44" s="27">
        <v>0.9859003831417622</v>
      </c>
      <c r="CU44" s="27">
        <v>-6.8130223965370842E-2</v>
      </c>
      <c r="CV44" s="27">
        <v>1.0315769230769232</v>
      </c>
      <c r="CW44" s="27">
        <v>2.0135016181765906</v>
      </c>
      <c r="CX44" s="28">
        <v>0.94</v>
      </c>
      <c r="CY44" s="28">
        <v>1.07</v>
      </c>
      <c r="CZ44" s="29">
        <v>14.03142308</v>
      </c>
      <c r="DA44" s="27">
        <v>-0.25705803776615366</v>
      </c>
      <c r="DB44" s="27">
        <v>1.72976924253802</v>
      </c>
      <c r="DC44" s="27">
        <v>266.87708664986224</v>
      </c>
      <c r="DD44" s="27">
        <v>1</v>
      </c>
      <c r="DE44" s="27">
        <v>1.2</v>
      </c>
      <c r="DF44" s="27">
        <v>92.1</v>
      </c>
      <c r="DG44" s="28">
        <v>4.5228749432612609</v>
      </c>
      <c r="DH44" s="27">
        <v>0.93069000000000002</v>
      </c>
      <c r="DI44" s="27">
        <v>2.2000000000000002</v>
      </c>
      <c r="DJ44" s="27">
        <v>1.4</v>
      </c>
      <c r="DK44" s="27">
        <v>1.5</v>
      </c>
      <c r="DL44" s="27">
        <v>8.4498661866614921E-3</v>
      </c>
      <c r="DM44" s="27">
        <v>0.84399999999999997</v>
      </c>
      <c r="DN44" s="28">
        <v>0.79300000000000004</v>
      </c>
      <c r="DO44" s="28">
        <v>-0.167628844337147</v>
      </c>
      <c r="DP44" s="28">
        <f t="shared" si="22"/>
        <v>0.14394144754676058</v>
      </c>
      <c r="DQ44" s="27">
        <v>0.11509999999999998</v>
      </c>
      <c r="DR44" s="27">
        <v>3.2347817198611614E-2</v>
      </c>
      <c r="DS44" s="27">
        <v>2.4490842135800685E-2</v>
      </c>
      <c r="DT44" s="27">
        <v>2.6867542601332471E-2</v>
      </c>
      <c r="DU44" s="30">
        <v>5.0767810000000004</v>
      </c>
      <c r="DV44">
        <v>-0.3</v>
      </c>
      <c r="DW44">
        <v>0.7</v>
      </c>
      <c r="DX44">
        <v>90.9</v>
      </c>
      <c r="DY44">
        <v>87.4</v>
      </c>
      <c r="DZ44">
        <v>1.6</v>
      </c>
      <c r="EA44">
        <v>1</v>
      </c>
      <c r="EB44">
        <v>2.1595819999999999</v>
      </c>
    </row>
    <row r="45" spans="1:132" ht="18">
      <c r="A45" s="14" t="s">
        <v>144</v>
      </c>
      <c r="B45" s="14">
        <v>5</v>
      </c>
      <c r="C45" s="14" t="s">
        <v>133</v>
      </c>
      <c r="D45" s="14" t="s">
        <v>134</v>
      </c>
      <c r="E45" s="14" t="s">
        <v>145</v>
      </c>
      <c r="F45" s="15">
        <v>2050</v>
      </c>
      <c r="G45" s="15">
        <v>3.3117538610557542</v>
      </c>
      <c r="H45" s="15">
        <v>1172</v>
      </c>
      <c r="I45" s="15">
        <v>27</v>
      </c>
      <c r="J45" s="15">
        <v>731</v>
      </c>
      <c r="K45" s="16">
        <v>1</v>
      </c>
      <c r="L45" s="17">
        <v>0.12161841480778358</v>
      </c>
      <c r="M45" s="18">
        <v>140</v>
      </c>
      <c r="N45" s="18">
        <v>82</v>
      </c>
      <c r="O45" s="18">
        <v>0.96574266944399934</v>
      </c>
      <c r="P45" s="18">
        <v>3</v>
      </c>
      <c r="Q45" s="18">
        <f t="shared" si="15"/>
        <v>2.6666666666666665</v>
      </c>
      <c r="R45" s="18">
        <v>140</v>
      </c>
      <c r="S45" s="18">
        <v>5</v>
      </c>
      <c r="T45" s="19">
        <v>5491</v>
      </c>
      <c r="U45" s="19">
        <v>3.7396514437093766</v>
      </c>
      <c r="V45" s="20">
        <v>55694.368000000002</v>
      </c>
      <c r="W45" s="20">
        <v>4.7458112800895451</v>
      </c>
      <c r="X45" s="20">
        <v>0.63200000000000001</v>
      </c>
      <c r="Y45" s="20"/>
      <c r="Z45" s="20"/>
      <c r="AA45" s="20">
        <v>0.54005934720000004</v>
      </c>
      <c r="AB45" s="20">
        <v>364</v>
      </c>
      <c r="AC45" s="20"/>
      <c r="AD45" s="31"/>
      <c r="AE45" s="21"/>
      <c r="AF45" s="21"/>
      <c r="AG45" s="22">
        <v>7.6530612244897957E-3</v>
      </c>
      <c r="AH45" s="22">
        <v>129</v>
      </c>
      <c r="AI45" s="22">
        <v>7.3022496989999999</v>
      </c>
      <c r="AJ45" s="23">
        <v>88124</v>
      </c>
      <c r="AK45" s="23">
        <f t="shared" si="10"/>
        <v>4.9450942018071604</v>
      </c>
      <c r="AL45" s="24">
        <v>0.39017977700000001</v>
      </c>
      <c r="AM45" s="22">
        <f>6539+4248</f>
        <v>10787</v>
      </c>
      <c r="AN45" s="22">
        <f t="shared" si="19"/>
        <v>0.63995016611295685</v>
      </c>
      <c r="AO45" s="23">
        <v>0.11085056491153272</v>
      </c>
      <c r="AP45" s="33">
        <v>1.9736066E-2</v>
      </c>
      <c r="AQ45" s="23">
        <v>0.29526058882196532</v>
      </c>
      <c r="AR45" s="23">
        <v>16856</v>
      </c>
      <c r="AS45" s="23">
        <v>4.2267545226000438</v>
      </c>
      <c r="AT45" s="23">
        <v>4.2233661264398608</v>
      </c>
      <c r="AU45" s="22">
        <v>1.4379999999999999</v>
      </c>
      <c r="AV45" s="22">
        <v>1.0511763700000001</v>
      </c>
      <c r="AW45" s="22">
        <v>42.521000000000001</v>
      </c>
      <c r="AX45" s="22">
        <v>27.797999999999998</v>
      </c>
      <c r="AY45" s="22">
        <v>1</v>
      </c>
      <c r="AZ45" s="24">
        <v>14073</v>
      </c>
      <c r="BA45" s="24">
        <f t="shared" si="5"/>
        <v>4.1483866876668207</v>
      </c>
      <c r="BB45" s="24">
        <v>7214</v>
      </c>
      <c r="BC45" s="24">
        <f t="shared" si="6"/>
        <v>3.8581761379823445</v>
      </c>
      <c r="BD45" s="24">
        <v>6859</v>
      </c>
      <c r="BE45" s="23">
        <v>1560</v>
      </c>
      <c r="BF45" s="23">
        <f t="shared" si="20"/>
        <v>55.5</v>
      </c>
      <c r="BG45" s="23">
        <v>-6.6427289048473961E-2</v>
      </c>
      <c r="BH45" s="23">
        <v>9.2548647365923109E-2</v>
      </c>
      <c r="BI45" s="23">
        <v>9.9910313901345291E-2</v>
      </c>
      <c r="BJ45" s="23">
        <v>3.0282916868052148E-2</v>
      </c>
      <c r="BK45" s="23">
        <v>-7.3682748536765999E-2</v>
      </c>
      <c r="BL45" s="23">
        <v>1671</v>
      </c>
      <c r="BM45" s="22">
        <v>2169</v>
      </c>
      <c r="BN45" s="22">
        <f t="shared" si="21"/>
        <v>161</v>
      </c>
      <c r="BO45" s="22">
        <v>3.3362595520141931</v>
      </c>
      <c r="BP45" s="22">
        <v>0.15412492005968875</v>
      </c>
      <c r="BQ45" s="22">
        <v>6.1549047472890944E-3</v>
      </c>
      <c r="BR45" s="22">
        <v>1.8942740962112764E-3</v>
      </c>
      <c r="BS45" s="22">
        <v>-501</v>
      </c>
      <c r="BT45" s="22">
        <v>2.6998377258672459</v>
      </c>
      <c r="BU45" s="22">
        <v>2.9722354057902231E-2</v>
      </c>
      <c r="BV45" s="23">
        <v>2054</v>
      </c>
      <c r="BW45" s="22">
        <v>6121</v>
      </c>
      <c r="BX45" s="22">
        <v>41.39</v>
      </c>
      <c r="BY45" s="22">
        <v>1.61689542640076</v>
      </c>
      <c r="BZ45" s="25">
        <v>0.37782956058588557</v>
      </c>
      <c r="CA45" s="23">
        <v>1.6391908430144698E-2</v>
      </c>
      <c r="CB45" s="23">
        <v>1.6391908430144697</v>
      </c>
      <c r="CC45" s="23">
        <v>0.21462951930761243</v>
      </c>
      <c r="CD45" s="23">
        <v>1.8091860620457454E-2</v>
      </c>
      <c r="CE45" s="23">
        <v>3.535605482629562E-2</v>
      </c>
      <c r="CF45" s="23">
        <v>1.4213930348258705</v>
      </c>
      <c r="CG45" s="23">
        <f t="shared" si="7"/>
        <v>0.35163740117765158</v>
      </c>
      <c r="CH45" s="26">
        <v>11.56</v>
      </c>
      <c r="CI45" s="26">
        <v>12.07</v>
      </c>
      <c r="CJ45" s="26">
        <v>1.0629578340845103</v>
      </c>
      <c r="CK45" s="26">
        <v>1.0817072700973491</v>
      </c>
      <c r="CL45" s="26">
        <v>-4.2253521126760542E-2</v>
      </c>
      <c r="CM45" s="27">
        <v>13.296884615384608</v>
      </c>
      <c r="CN45" s="27">
        <v>3.681220260646025E-3</v>
      </c>
      <c r="CQ45" s="27">
        <v>67.989575289575299</v>
      </c>
      <c r="CR45" s="27">
        <v>-0.167971536975</v>
      </c>
      <c r="CS45" s="27">
        <v>0.84238461538461584</v>
      </c>
      <c r="CT45" s="27">
        <v>0.91873076923076902</v>
      </c>
      <c r="CU45" s="27">
        <v>-8.3099593921379125E-2</v>
      </c>
      <c r="CV45" s="27">
        <v>0.92230769230769172</v>
      </c>
      <c r="CW45" s="27">
        <v>1.9648758307920116</v>
      </c>
      <c r="CX45" s="28">
        <v>0.56000000000000005</v>
      </c>
      <c r="CY45" s="28">
        <v>0.94</v>
      </c>
      <c r="CZ45" s="29">
        <v>16.52657692</v>
      </c>
      <c r="DA45" s="27">
        <v>0.17782614249273998</v>
      </c>
      <c r="DB45" s="27">
        <v>1.322681365714484</v>
      </c>
      <c r="DC45" s="27">
        <v>1.72976924253802</v>
      </c>
      <c r="DD45" s="27">
        <v>1</v>
      </c>
      <c r="DE45" s="27">
        <v>0.7</v>
      </c>
      <c r="DF45" s="27">
        <v>94.1</v>
      </c>
      <c r="DG45" s="28">
        <v>4.5443580465913342</v>
      </c>
      <c r="DH45" s="27">
        <v>0.94418000000000002</v>
      </c>
      <c r="DI45" s="27">
        <v>1.9</v>
      </c>
      <c r="DJ45" s="27">
        <v>1.6</v>
      </c>
      <c r="DK45" s="27">
        <v>1.8</v>
      </c>
      <c r="DL45" s="27">
        <v>7.6672365931182819E-3</v>
      </c>
      <c r="DM45" s="27">
        <v>0.75770000000000004</v>
      </c>
      <c r="DN45" s="28">
        <v>0.74250000000000005</v>
      </c>
      <c r="DO45" s="28">
        <v>-6.3682219419924316E-2</v>
      </c>
      <c r="DP45" s="28">
        <f t="shared" si="22"/>
        <v>-0.10225118483412314</v>
      </c>
      <c r="DQ45" s="27">
        <v>9.7799999999999998E-2</v>
      </c>
      <c r="DR45" s="27">
        <v>2.4490842135800685E-2</v>
      </c>
      <c r="DS45" s="27">
        <v>2.77430650961079E-2</v>
      </c>
      <c r="DT45" s="27">
        <v>3.2347817198611614E-2</v>
      </c>
      <c r="DU45" s="30">
        <v>4.6174650000000002</v>
      </c>
      <c r="DV45">
        <v>-0.5</v>
      </c>
      <c r="DW45">
        <v>-0.4</v>
      </c>
      <c r="DX45">
        <v>93.7</v>
      </c>
      <c r="DY45">
        <v>89.8</v>
      </c>
      <c r="DZ45">
        <v>1.6</v>
      </c>
      <c r="EA45">
        <v>1.7</v>
      </c>
      <c r="EB45">
        <v>2.2385109999999999</v>
      </c>
    </row>
    <row r="46" spans="1:132" ht="18">
      <c r="A46" s="14" t="s">
        <v>144</v>
      </c>
      <c r="B46" s="14">
        <v>6</v>
      </c>
      <c r="C46" s="14" t="s">
        <v>133</v>
      </c>
      <c r="D46" s="14" t="s">
        <v>134</v>
      </c>
      <c r="E46" s="14" t="s">
        <v>145</v>
      </c>
      <c r="F46" s="15">
        <v>1794</v>
      </c>
      <c r="G46" s="15">
        <v>3.2538224387080734</v>
      </c>
      <c r="H46" s="15">
        <v>611</v>
      </c>
      <c r="I46" s="15">
        <v>485</v>
      </c>
      <c r="J46" s="15">
        <v>698</v>
      </c>
      <c r="K46" s="16">
        <v>1</v>
      </c>
      <c r="L46" s="17">
        <v>6.5056570931244562E-2</v>
      </c>
      <c r="M46" s="18">
        <v>140</v>
      </c>
      <c r="N46" s="18">
        <v>82</v>
      </c>
      <c r="O46" s="18">
        <v>0.96574266944399934</v>
      </c>
      <c r="P46" s="18">
        <v>3</v>
      </c>
      <c r="Q46" s="18">
        <f t="shared" si="15"/>
        <v>2.6666666666666665</v>
      </c>
      <c r="R46" s="18">
        <v>140</v>
      </c>
      <c r="S46" s="18">
        <v>5</v>
      </c>
      <c r="T46" s="19">
        <v>5106</v>
      </c>
      <c r="U46" s="19">
        <v>3.7080808104682315</v>
      </c>
      <c r="V46" s="20">
        <v>42052.332000000002</v>
      </c>
      <c r="W46" s="20">
        <v>4.6237900844775623</v>
      </c>
      <c r="X46" s="20">
        <v>0.55300000000000005</v>
      </c>
      <c r="Y46" s="20"/>
      <c r="Z46" s="20"/>
      <c r="AA46" s="20"/>
      <c r="AB46" s="20"/>
      <c r="AC46" s="20"/>
      <c r="AE46" s="21"/>
      <c r="AF46" s="21"/>
      <c r="AG46" s="22">
        <v>4.3878735131998841E-3</v>
      </c>
      <c r="AH46" s="22">
        <v>121</v>
      </c>
      <c r="AI46" s="22">
        <v>5.1666666670000003</v>
      </c>
      <c r="AJ46" s="23">
        <v>76044</v>
      </c>
      <c r="AK46" s="23">
        <f t="shared" si="10"/>
        <v>4.8810649531728645</v>
      </c>
      <c r="AL46" s="24">
        <v>0.399655604</v>
      </c>
      <c r="AM46" s="22">
        <f>11663+6813</f>
        <v>18476</v>
      </c>
      <c r="AN46" s="22">
        <f t="shared" si="19"/>
        <v>0.67000290107339711</v>
      </c>
      <c r="AO46" s="23">
        <v>0.33954289292423295</v>
      </c>
      <c r="AP46" s="33">
        <v>2.5736539999999999E-2</v>
      </c>
      <c r="AQ46" s="23">
        <v>0.41055016028744346</v>
      </c>
      <c r="AR46" s="23">
        <v>27576</v>
      </c>
      <c r="AS46" s="23">
        <v>4.4405312703998909</v>
      </c>
      <c r="AT46" s="23">
        <v>4.2267545226000438</v>
      </c>
      <c r="AU46" s="22">
        <v>1.671</v>
      </c>
      <c r="AV46" s="22">
        <v>1.364160568</v>
      </c>
      <c r="AW46" s="22">
        <v>46.593000000000004</v>
      </c>
      <c r="AX46" s="22">
        <v>42.521000000000001</v>
      </c>
      <c r="AY46" s="22">
        <v>1</v>
      </c>
      <c r="AZ46" s="24">
        <v>12776</v>
      </c>
      <c r="BA46" s="24">
        <f t="shared" si="5"/>
        <v>4.1063949031304263</v>
      </c>
      <c r="BB46" s="24">
        <v>6380</v>
      </c>
      <c r="BC46" s="24">
        <f t="shared" si="6"/>
        <v>3.8048206787211623</v>
      </c>
      <c r="BD46" s="24">
        <v>6396</v>
      </c>
      <c r="BE46" s="23">
        <v>4338</v>
      </c>
      <c r="BF46" s="23">
        <f t="shared" si="20"/>
        <v>1389</v>
      </c>
      <c r="BG46" s="23">
        <v>1.7807692307692307</v>
      </c>
      <c r="BH46" s="23">
        <v>0.15731070496083552</v>
      </c>
      <c r="BI46" s="23">
        <v>9.2548647365923109E-2</v>
      </c>
      <c r="BJ46" s="23">
        <v>3.0282916868052148E-2</v>
      </c>
      <c r="BK46" s="23">
        <v>0.69976233514092534</v>
      </c>
      <c r="BL46" s="23">
        <v>1560</v>
      </c>
      <c r="BM46" s="22">
        <v>1611</v>
      </c>
      <c r="BN46" s="22">
        <f t="shared" si="21"/>
        <v>279</v>
      </c>
      <c r="BO46" s="22">
        <v>3.2070955404192181</v>
      </c>
      <c r="BP46" s="22">
        <v>0.12609580463368816</v>
      </c>
      <c r="BQ46" s="22">
        <v>1.4014557713000295E-2</v>
      </c>
      <c r="BR46" s="22">
        <v>6.1549047472890944E-3</v>
      </c>
      <c r="BS46" s="22">
        <v>-8098</v>
      </c>
      <c r="BT46" s="22">
        <v>3.9083777724323947</v>
      </c>
      <c r="BU46" s="22">
        <v>0.2936611546272121</v>
      </c>
      <c r="BV46" s="23">
        <v>1702</v>
      </c>
      <c r="BW46" s="22">
        <v>12302</v>
      </c>
      <c r="BX46" s="22">
        <v>46.88</v>
      </c>
      <c r="BY46" s="22">
        <v>1.6709876030100344</v>
      </c>
      <c r="BZ46" s="25">
        <v>0.13264073447692684</v>
      </c>
      <c r="CA46" s="23">
        <v>3.535605482629562E-2</v>
      </c>
      <c r="CB46" s="23">
        <v>3.535605482629562</v>
      </c>
      <c r="CC46" s="23">
        <v>0.5484637986838331</v>
      </c>
      <c r="CD46" s="23">
        <v>1.6391908430144698E-2</v>
      </c>
      <c r="CE46" s="23">
        <v>6.2626821819872752E-2</v>
      </c>
      <c r="CF46" s="23">
        <v>1.250774633340219</v>
      </c>
      <c r="CG46" s="23">
        <f t="shared" si="7"/>
        <v>0.22376306604749829</v>
      </c>
      <c r="CH46" s="26">
        <v>22.5</v>
      </c>
      <c r="CI46" s="26">
        <v>11.56</v>
      </c>
      <c r="CJ46" s="26">
        <v>1.3521825181113625</v>
      </c>
      <c r="CK46" s="26">
        <v>1.0629578340845103</v>
      </c>
      <c r="CL46" s="26">
        <v>0.94636678200692037</v>
      </c>
      <c r="CM46" s="27">
        <v>18.34360153256705</v>
      </c>
      <c r="CN46" s="27">
        <v>0.37954130333231201</v>
      </c>
      <c r="CQ46" s="27">
        <v>77.833846153846167</v>
      </c>
      <c r="CR46" s="27">
        <v>0.14479088628430173</v>
      </c>
      <c r="CS46" s="27">
        <v>0.72605363984674265</v>
      </c>
      <c r="CT46" s="27">
        <v>0.84238461538461584</v>
      </c>
      <c r="CU46" s="27">
        <v>-0.13809722235342442</v>
      </c>
      <c r="CV46" s="27">
        <v>0.78180076628352502</v>
      </c>
      <c r="CW46" s="27">
        <v>1.8930960917710087</v>
      </c>
      <c r="CX46" s="28">
        <v>0.88</v>
      </c>
      <c r="CY46" s="28">
        <v>0.56000000000000005</v>
      </c>
      <c r="CZ46" s="29">
        <v>19.614636019999999</v>
      </c>
      <c r="DA46" s="27">
        <v>0.18685412683753744</v>
      </c>
      <c r="DB46" s="27">
        <v>2.3607257116750975</v>
      </c>
      <c r="DC46" s="27">
        <v>1.322681365714484</v>
      </c>
      <c r="DD46" s="27">
        <v>1</v>
      </c>
      <c r="DE46" s="27">
        <v>0</v>
      </c>
      <c r="DF46" s="27">
        <v>96.5</v>
      </c>
      <c r="DG46" s="28">
        <v>4.5695430083449402</v>
      </c>
      <c r="DH46" s="27">
        <v>0.95938999999999997</v>
      </c>
      <c r="DI46" s="27">
        <v>1.9</v>
      </c>
      <c r="DJ46" s="27">
        <v>1.7</v>
      </c>
      <c r="DK46" s="27">
        <v>1.8</v>
      </c>
      <c r="DL46" s="27">
        <v>1.679984422560547E-2</v>
      </c>
      <c r="DM46" s="27">
        <v>0.6855</v>
      </c>
      <c r="DN46" s="28">
        <v>0.84760000000000002</v>
      </c>
      <c r="DO46" s="28">
        <v>0.14154882154882151</v>
      </c>
      <c r="DP46" s="28">
        <f t="shared" si="22"/>
        <v>-9.5288372706876123E-2</v>
      </c>
      <c r="DQ46" s="27">
        <v>0.10279999999999989</v>
      </c>
      <c r="DR46" s="27">
        <v>2.77430650961079E-2</v>
      </c>
      <c r="DS46" s="27">
        <v>5.0662060808238797E-2</v>
      </c>
      <c r="DT46" s="27">
        <v>2.4490842135800685E-2</v>
      </c>
      <c r="DU46" s="30">
        <v>4.6191050000000002</v>
      </c>
      <c r="DV46">
        <v>-0.9</v>
      </c>
      <c r="DW46">
        <v>-0.7</v>
      </c>
      <c r="DX46">
        <v>96.2</v>
      </c>
      <c r="DY46">
        <v>92.4</v>
      </c>
      <c r="DZ46">
        <v>2.1</v>
      </c>
      <c r="EA46">
        <v>1.9</v>
      </c>
      <c r="EB46">
        <v>2.1588159999999998</v>
      </c>
    </row>
    <row r="47" spans="1:132" ht="18">
      <c r="A47" s="14" t="s">
        <v>144</v>
      </c>
      <c r="B47" s="14">
        <v>7</v>
      </c>
      <c r="C47" s="14" t="s">
        <v>133</v>
      </c>
      <c r="D47" s="14" t="s">
        <v>134</v>
      </c>
      <c r="E47" s="14" t="s">
        <v>145</v>
      </c>
      <c r="F47" s="15">
        <v>4034</v>
      </c>
      <c r="G47" s="15">
        <v>3.6057358938767465</v>
      </c>
      <c r="H47" s="15">
        <v>974</v>
      </c>
      <c r="I47" s="15">
        <v>824</v>
      </c>
      <c r="J47" s="15">
        <v>2236</v>
      </c>
      <c r="K47" s="16">
        <v>1</v>
      </c>
      <c r="L47" s="17">
        <v>0.15015819839940442</v>
      </c>
      <c r="M47" s="18">
        <v>140</v>
      </c>
      <c r="N47" s="18">
        <v>82</v>
      </c>
      <c r="O47" s="18">
        <v>0.96574266944399934</v>
      </c>
      <c r="P47" s="18">
        <v>3</v>
      </c>
      <c r="Q47" s="18">
        <f t="shared" si="15"/>
        <v>2.6666666666666665</v>
      </c>
      <c r="R47" s="18">
        <v>140</v>
      </c>
      <c r="S47" s="18">
        <v>5</v>
      </c>
      <c r="T47" s="19">
        <v>5696</v>
      </c>
      <c r="U47" s="19">
        <v>3.7555699806287999</v>
      </c>
      <c r="V47" s="20">
        <v>49608.517</v>
      </c>
      <c r="W47" s="20">
        <v>4.695556244404794</v>
      </c>
      <c r="X47" s="20">
        <v>0.61899999999999999</v>
      </c>
      <c r="Y47" s="20"/>
      <c r="Z47" s="20"/>
      <c r="AA47" s="20"/>
      <c r="AB47" s="20"/>
      <c r="AC47" s="20"/>
      <c r="AE47" s="21"/>
      <c r="AF47" s="21"/>
      <c r="AG47" s="22">
        <v>7.3701842546063647E-3</v>
      </c>
      <c r="AH47" s="22">
        <v>198</v>
      </c>
      <c r="AI47" s="22">
        <v>3.5902360020000001</v>
      </c>
      <c r="AJ47" s="23">
        <v>80143</v>
      </c>
      <c r="AK47" s="23">
        <f t="shared" si="10"/>
        <v>4.9038655953846764</v>
      </c>
      <c r="AL47" s="24">
        <v>0.374244415</v>
      </c>
      <c r="AM47" s="22">
        <f>13267+4898</f>
        <v>18165</v>
      </c>
      <c r="AN47" s="22">
        <f t="shared" si="19"/>
        <v>0.67615857063093243</v>
      </c>
      <c r="AO47" s="23">
        <v>9.7963206307490142E-2</v>
      </c>
      <c r="AP47" s="33">
        <v>4.0435066999999998E-2</v>
      </c>
      <c r="AQ47" s="23">
        <v>0.60675816706345653</v>
      </c>
      <c r="AR47" s="23">
        <v>26865</v>
      </c>
      <c r="AS47" s="23">
        <v>4.4291868449047129</v>
      </c>
      <c r="AT47" s="23">
        <v>4.4405312703998909</v>
      </c>
      <c r="AU47" s="22">
        <v>1.7110000000000001</v>
      </c>
      <c r="AV47" s="22">
        <v>1.398310967</v>
      </c>
      <c r="AW47" s="22">
        <v>31.033999999999999</v>
      </c>
      <c r="AX47" s="22">
        <v>46.593000000000004</v>
      </c>
      <c r="AY47" s="22">
        <v>1</v>
      </c>
      <c r="AZ47" s="24">
        <v>15220</v>
      </c>
      <c r="BA47" s="24">
        <f t="shared" si="5"/>
        <v>4.182414652434554</v>
      </c>
      <c r="BB47" s="24">
        <v>7172</v>
      </c>
      <c r="BC47" s="24">
        <f t="shared" si="6"/>
        <v>3.8556402808901451</v>
      </c>
      <c r="BD47" s="24">
        <v>8048</v>
      </c>
      <c r="BE47" s="23">
        <v>1491</v>
      </c>
      <c r="BF47" s="23">
        <f t="shared" si="20"/>
        <v>1423.5</v>
      </c>
      <c r="BG47" s="23">
        <v>-0.65629322268326418</v>
      </c>
      <c r="BH47" s="23">
        <v>5.5499720826353995E-2</v>
      </c>
      <c r="BI47" s="23">
        <v>0.15731070496083552</v>
      </c>
      <c r="BJ47" s="23">
        <v>3.0282916868052148E-2</v>
      </c>
      <c r="BK47" s="23">
        <v>-0.64719679541089503</v>
      </c>
      <c r="BL47" s="23">
        <v>4338</v>
      </c>
      <c r="BM47" s="22">
        <v>1754</v>
      </c>
      <c r="BN47" s="22">
        <f t="shared" si="21"/>
        <v>71.5</v>
      </c>
      <c r="BO47" s="22">
        <v>3.2440295890300219</v>
      </c>
      <c r="BP47" s="22">
        <v>0.11524310118265441</v>
      </c>
      <c r="BQ47" s="22">
        <v>5.4263517255168786E-3</v>
      </c>
      <c r="BR47" s="22">
        <v>1.4014557713000295E-2</v>
      </c>
      <c r="BS47" s="22">
        <v>-569</v>
      </c>
      <c r="BT47" s="22">
        <v>2.7551122663950713</v>
      </c>
      <c r="BU47" s="22">
        <v>2.1179973943793038E-2</v>
      </c>
      <c r="BV47" s="23">
        <v>1680</v>
      </c>
      <c r="BW47" s="22">
        <v>12087</v>
      </c>
      <c r="BX47" s="22">
        <v>33.67</v>
      </c>
      <c r="BY47" s="22">
        <v>1.5272431163880886</v>
      </c>
      <c r="BZ47" s="25">
        <v>-0.28178327645051193</v>
      </c>
      <c r="CA47" s="23">
        <v>6.2626821819872752E-2</v>
      </c>
      <c r="CB47" s="23">
        <v>6.2626821819872749</v>
      </c>
      <c r="CC47" s="23">
        <v>0.7967603727245558</v>
      </c>
      <c r="CD47" s="23">
        <v>3.535605482629562E-2</v>
      </c>
      <c r="CE47" s="23">
        <v>3.0612571544382627E-2</v>
      </c>
      <c r="CF47" s="23">
        <v>1.658154859967051</v>
      </c>
      <c r="CG47" s="23">
        <f t="shared" si="7"/>
        <v>0.50570545402034794</v>
      </c>
      <c r="CH47" s="26">
        <v>40</v>
      </c>
      <c r="CI47" s="26">
        <v>22.5</v>
      </c>
      <c r="CJ47" s="26">
        <v>1.6020599913279623</v>
      </c>
      <c r="CK47" s="26">
        <v>1.3521825181113625</v>
      </c>
      <c r="CL47" s="26">
        <v>0.77777777777777779</v>
      </c>
      <c r="CM47" s="27">
        <v>34.430804597701169</v>
      </c>
      <c r="CN47" s="27">
        <v>0.87699261437690179</v>
      </c>
      <c r="CO47" s="27">
        <v>14.002720000000007</v>
      </c>
      <c r="CQ47" s="27">
        <v>141.16230769230771</v>
      </c>
      <c r="CR47" s="27">
        <v>0.81363654332700808</v>
      </c>
      <c r="CS47" s="27">
        <v>1.4151340996168575</v>
      </c>
      <c r="CT47" s="27">
        <v>0.72605363984674265</v>
      </c>
      <c r="CU47" s="27">
        <v>0.94907651715039654</v>
      </c>
      <c r="CV47" s="27">
        <v>1.549389312977099</v>
      </c>
      <c r="CW47" s="27">
        <v>2.1901605560639821</v>
      </c>
      <c r="CX47" s="28">
        <v>2.34</v>
      </c>
      <c r="CY47" s="28">
        <v>0.88</v>
      </c>
      <c r="CZ47" s="29">
        <v>33.709007630000002</v>
      </c>
      <c r="DA47" s="27">
        <v>0.71856401493398725</v>
      </c>
      <c r="DB47" s="27">
        <v>3.1430399491928545</v>
      </c>
      <c r="DC47" s="27">
        <v>2.3607257116750975</v>
      </c>
      <c r="DD47" s="27">
        <v>1</v>
      </c>
      <c r="DE47" s="27">
        <v>-0.4</v>
      </c>
      <c r="DF47" s="27">
        <v>98.8</v>
      </c>
      <c r="DG47" s="28">
        <v>4.5930976047538223</v>
      </c>
      <c r="DH47" s="27">
        <v>0.97638000000000003</v>
      </c>
      <c r="DI47" s="27">
        <v>1.8</v>
      </c>
      <c r="DJ47" s="27">
        <v>1.8</v>
      </c>
      <c r="DK47" s="27">
        <v>2</v>
      </c>
      <c r="DL47" s="27">
        <v>4.1965997035105826E-2</v>
      </c>
      <c r="DM47" s="27">
        <v>0.71560000000000001</v>
      </c>
      <c r="DN47" s="28">
        <v>0.75849999999999995</v>
      </c>
      <c r="DO47" s="28">
        <v>-0.10512033978291654</v>
      </c>
      <c r="DP47" s="28">
        <f t="shared" si="22"/>
        <v>4.3909555069292512E-2</v>
      </c>
      <c r="DQ47" s="27">
        <v>0.17789999999999995</v>
      </c>
      <c r="DR47" s="27">
        <v>5.0662060808238797E-2</v>
      </c>
      <c r="DS47" s="27">
        <v>3.802148779895468E-2</v>
      </c>
      <c r="DT47" s="27">
        <v>2.77430650961079E-2</v>
      </c>
      <c r="DU47" s="30">
        <v>5.7984980000000004</v>
      </c>
      <c r="DV47">
        <v>-1</v>
      </c>
      <c r="DW47">
        <v>0.7</v>
      </c>
      <c r="DX47">
        <v>98</v>
      </c>
      <c r="DY47">
        <v>95</v>
      </c>
      <c r="DZ47">
        <v>1.6</v>
      </c>
      <c r="EA47">
        <v>1.7</v>
      </c>
      <c r="EB47">
        <v>2.0603549999999999</v>
      </c>
    </row>
    <row r="48" spans="1:132" ht="18">
      <c r="A48" s="14" t="s">
        <v>144</v>
      </c>
      <c r="B48" s="14">
        <v>8</v>
      </c>
      <c r="C48" s="14" t="s">
        <v>133</v>
      </c>
      <c r="D48" s="14" t="s">
        <v>134</v>
      </c>
      <c r="E48" s="14" t="s">
        <v>145</v>
      </c>
      <c r="F48" s="15">
        <v>2665</v>
      </c>
      <c r="G48" s="15">
        <v>3.4256972133625911</v>
      </c>
      <c r="H48" s="15">
        <v>937</v>
      </c>
      <c r="I48" s="15">
        <v>473</v>
      </c>
      <c r="J48" s="15">
        <v>1255</v>
      </c>
      <c r="K48" s="16">
        <v>1</v>
      </c>
      <c r="L48" s="17">
        <v>0.10963919858476982</v>
      </c>
      <c r="M48" s="18">
        <v>140</v>
      </c>
      <c r="N48" s="18">
        <v>82</v>
      </c>
      <c r="O48" s="18">
        <v>0.96574266944399934</v>
      </c>
      <c r="P48" s="18">
        <v>3</v>
      </c>
      <c r="Q48" s="18">
        <f t="shared" si="15"/>
        <v>2.6666666666666665</v>
      </c>
      <c r="R48" s="18">
        <v>140</v>
      </c>
      <c r="S48" s="18">
        <v>5</v>
      </c>
      <c r="T48" s="19">
        <v>6022</v>
      </c>
      <c r="U48" s="19">
        <v>3.7797407511767407</v>
      </c>
      <c r="V48" s="20">
        <v>51176.832000000002</v>
      </c>
      <c r="W48" s="20">
        <v>4.7090733982470976</v>
      </c>
      <c r="X48" s="20">
        <v>0.63200000000000001</v>
      </c>
      <c r="Y48" s="20"/>
      <c r="Z48" s="20"/>
      <c r="AA48" s="20"/>
      <c r="AB48" s="20"/>
      <c r="AC48" s="20"/>
      <c r="AE48" s="21"/>
      <c r="AF48" s="21"/>
      <c r="AG48" s="22">
        <v>8.4749249187476856E-3</v>
      </c>
      <c r="AH48" s="22">
        <v>206</v>
      </c>
      <c r="AI48" s="22">
        <v>3.5425864520000001</v>
      </c>
      <c r="AJ48" s="23">
        <v>80976</v>
      </c>
      <c r="AK48" s="23">
        <f t="shared" si="10"/>
        <v>4.908356319964712</v>
      </c>
      <c r="AL48" s="24">
        <v>0.40194900500000003</v>
      </c>
      <c r="AM48" s="22">
        <f>7842+5856</f>
        <v>13698</v>
      </c>
      <c r="AN48" s="22">
        <f t="shared" si="19"/>
        <v>0.56354136668449417</v>
      </c>
      <c r="AO48" s="23">
        <v>0.10152182619142971</v>
      </c>
      <c r="AP48" s="33">
        <v>1.4762178000000001E-2</v>
      </c>
      <c r="AQ48" s="23">
        <v>0.169150437676723</v>
      </c>
      <c r="AR48" s="23">
        <v>24307</v>
      </c>
      <c r="AS48" s="23">
        <v>4.3857313609887845</v>
      </c>
      <c r="AT48" s="23">
        <v>4.4291868449047129</v>
      </c>
      <c r="AU48" s="22">
        <v>0.92600000000000005</v>
      </c>
      <c r="AV48" s="22">
        <v>0.73841781149999997</v>
      </c>
      <c r="AW48" s="22">
        <v>37.392000000000003</v>
      </c>
      <c r="AX48" s="22">
        <v>31.033999999999999</v>
      </c>
      <c r="AY48" s="22">
        <v>1</v>
      </c>
      <c r="AZ48" s="24">
        <v>14982</v>
      </c>
      <c r="BA48" s="24">
        <f t="shared" si="5"/>
        <v>4.1755697927349917</v>
      </c>
      <c r="BB48" s="24">
        <v>6749</v>
      </c>
      <c r="BC48" s="24">
        <f t="shared" si="6"/>
        <v>3.8292394281413888</v>
      </c>
      <c r="BD48" s="24">
        <v>8233</v>
      </c>
      <c r="BE48" s="23">
        <v>1521</v>
      </c>
      <c r="BF48" s="23">
        <f t="shared" si="20"/>
        <v>15</v>
      </c>
      <c r="BG48" s="23">
        <v>2.0120724346076459E-2</v>
      </c>
      <c r="BH48" s="23">
        <v>6.257456699716131E-2</v>
      </c>
      <c r="BI48" s="23">
        <v>5.5499720826353995E-2</v>
      </c>
      <c r="BJ48" s="23">
        <v>3.0282916868052148E-2</v>
      </c>
      <c r="BK48" s="23">
        <v>0.127475347001166</v>
      </c>
      <c r="BL48" s="23">
        <v>1491</v>
      </c>
      <c r="BM48" s="22">
        <v>2000</v>
      </c>
      <c r="BN48" s="22">
        <f t="shared" si="21"/>
        <v>123</v>
      </c>
      <c r="BO48" s="22">
        <v>3.3010299956639813</v>
      </c>
      <c r="BP48" s="22">
        <v>0.13349352556401015</v>
      </c>
      <c r="BQ48" s="22">
        <v>9.1252121906778699E-3</v>
      </c>
      <c r="BR48" s="22">
        <v>5.4263517255168786E-3</v>
      </c>
      <c r="BS48" s="22">
        <v>322</v>
      </c>
      <c r="BT48" s="22"/>
      <c r="BU48" s="22">
        <v>-1.3247212737071625E-2</v>
      </c>
      <c r="BV48" s="23">
        <v>1955</v>
      </c>
      <c r="BW48" s="22">
        <v>7794</v>
      </c>
      <c r="BX48" s="22">
        <v>36.61</v>
      </c>
      <c r="BY48" s="22">
        <v>1.5635997288815311</v>
      </c>
      <c r="BZ48" s="25">
        <v>8.731808731808724E-2</v>
      </c>
      <c r="CA48" s="23">
        <v>3.0612571544382627E-2</v>
      </c>
      <c r="CB48" s="23">
        <v>3.0612571544382625</v>
      </c>
      <c r="CC48" s="23">
        <v>0.48589981311992536</v>
      </c>
      <c r="CD48" s="23">
        <v>6.2626821819872752E-2</v>
      </c>
      <c r="CE48" s="23">
        <v>3.3457083478289622E-2</v>
      </c>
      <c r="CF48" s="23">
        <v>1.4130086510733739</v>
      </c>
      <c r="CG48" s="23">
        <f t="shared" si="7"/>
        <v>0.34572122617011225</v>
      </c>
      <c r="CH48" s="26">
        <v>21.68</v>
      </c>
      <c r="CI48" s="26">
        <v>40</v>
      </c>
      <c r="CJ48" s="26">
        <v>1.3360592778663494</v>
      </c>
      <c r="CK48" s="26">
        <v>1.6020599913279623</v>
      </c>
      <c r="CL48" s="26">
        <v>-0.45800000000000002</v>
      </c>
      <c r="CM48" s="27">
        <v>32.806781609195411</v>
      </c>
      <c r="CN48" s="27">
        <v>-4.7167732717294325E-2</v>
      </c>
      <c r="CO48" s="27">
        <v>14.687391304347829</v>
      </c>
      <c r="CP48" s="27">
        <v>4.8895593452402179E-2</v>
      </c>
      <c r="CQ48" s="27">
        <v>128.33115384615388</v>
      </c>
      <c r="CR48" s="27">
        <v>-9.0896458522922177E-2</v>
      </c>
      <c r="CS48" s="27">
        <v>1.3546743295019157</v>
      </c>
      <c r="CT48" s="27">
        <v>1.4151340996168575</v>
      </c>
      <c r="CU48" s="27">
        <v>-4.272370380397951E-2</v>
      </c>
      <c r="CV48" s="27">
        <v>1.5608045977011498</v>
      </c>
      <c r="CW48" s="27">
        <v>2.1933485357004661</v>
      </c>
      <c r="CX48" s="28">
        <v>1.03</v>
      </c>
      <c r="CY48" s="28">
        <v>2.34</v>
      </c>
      <c r="CZ48" s="29">
        <v>33.580881230000003</v>
      </c>
      <c r="DA48" s="27">
        <v>-3.8009543741646867E-3</v>
      </c>
      <c r="DB48" s="27">
        <v>1.4102002336892525</v>
      </c>
      <c r="DC48" s="27">
        <v>3.1430399491928545</v>
      </c>
      <c r="DD48" s="27">
        <v>1</v>
      </c>
      <c r="DE48" s="27">
        <v>2.4</v>
      </c>
      <c r="DF48" s="27">
        <v>98.9</v>
      </c>
      <c r="DG48" s="28">
        <v>4.5941092386286666</v>
      </c>
      <c r="DH48" s="27">
        <v>0.99031999999999998</v>
      </c>
      <c r="DI48" s="27">
        <v>2</v>
      </c>
      <c r="DJ48" s="27">
        <v>3.5</v>
      </c>
      <c r="DK48" s="27">
        <v>2.6</v>
      </c>
      <c r="DL48" s="27">
        <v>2.4369778879479467E-2</v>
      </c>
      <c r="DM48" s="27">
        <v>0.69779999999999998</v>
      </c>
      <c r="DN48" s="28">
        <v>0.68400000000000005</v>
      </c>
      <c r="DO48" s="28">
        <v>-9.8220171390902972E-2</v>
      </c>
      <c r="DP48" s="28">
        <f t="shared" si="22"/>
        <v>-2.487423141419793E-2</v>
      </c>
      <c r="DQ48" s="27">
        <v>0.13560000000000005</v>
      </c>
      <c r="DR48" s="27">
        <v>3.802148779895468E-2</v>
      </c>
      <c r="DS48" s="27">
        <v>3.4239891893164551E-2</v>
      </c>
      <c r="DT48" s="27">
        <v>5.0662060808238797E-2</v>
      </c>
      <c r="DU48" s="30">
        <v>9.2708490000000001</v>
      </c>
      <c r="DV48">
        <v>2.2000000000000002</v>
      </c>
      <c r="DW48">
        <v>2.6</v>
      </c>
      <c r="DX48">
        <v>98.8</v>
      </c>
      <c r="DY48">
        <v>96.9</v>
      </c>
      <c r="DZ48">
        <v>1.3</v>
      </c>
      <c r="EA48">
        <v>2.5</v>
      </c>
      <c r="EB48">
        <v>1.1868369999999999</v>
      </c>
    </row>
    <row r="49" spans="1:132" ht="18">
      <c r="A49" s="14" t="s">
        <v>144</v>
      </c>
      <c r="B49" s="14">
        <v>9</v>
      </c>
      <c r="C49" s="14" t="s">
        <v>133</v>
      </c>
      <c r="D49" s="14" t="s">
        <v>134</v>
      </c>
      <c r="E49" s="14" t="s">
        <v>145</v>
      </c>
      <c r="F49" s="15">
        <v>2369</v>
      </c>
      <c r="G49" s="15">
        <v>3.3745650607227651</v>
      </c>
      <c r="H49" s="15">
        <v>826</v>
      </c>
      <c r="I49" s="15">
        <v>457</v>
      </c>
      <c r="J49" s="15">
        <v>1086</v>
      </c>
      <c r="K49" s="16">
        <v>1</v>
      </c>
      <c r="L49" s="17">
        <v>8.4309050144133243E-2</v>
      </c>
      <c r="M49" s="18">
        <v>140</v>
      </c>
      <c r="N49" s="18">
        <v>82</v>
      </c>
      <c r="O49" s="18">
        <v>0.96574266944399934</v>
      </c>
      <c r="P49" s="18">
        <v>3</v>
      </c>
      <c r="Q49" s="18">
        <f t="shared" si="15"/>
        <v>2.6666666666666665</v>
      </c>
      <c r="R49" s="18">
        <v>140</v>
      </c>
      <c r="S49" s="18">
        <v>5</v>
      </c>
      <c r="T49" s="19">
        <v>7561</v>
      </c>
      <c r="U49" s="19">
        <v>3.878579238062219</v>
      </c>
      <c r="V49" s="20">
        <v>54941.279999999999</v>
      </c>
      <c r="W49" s="20">
        <v>4.7398987732218067</v>
      </c>
      <c r="X49" s="20">
        <v>0.54400000000000004</v>
      </c>
      <c r="Y49" s="20"/>
      <c r="Z49" s="20"/>
      <c r="AA49" s="20"/>
      <c r="AB49" s="20"/>
      <c r="AC49" s="20"/>
      <c r="AE49" s="21"/>
      <c r="AF49" s="21"/>
      <c r="AG49" s="22">
        <v>7.4379871169792519E-3</v>
      </c>
      <c r="AH49" s="22">
        <v>209</v>
      </c>
      <c r="AI49" s="22">
        <v>3.237018425</v>
      </c>
      <c r="AJ49" s="23">
        <v>100995</v>
      </c>
      <c r="AK49" s="23">
        <f t="shared" si="10"/>
        <v>5.0042998735236264</v>
      </c>
      <c r="AL49" s="24">
        <v>0.444503233</v>
      </c>
      <c r="AM49" s="22">
        <f>8909+7203</f>
        <v>16112</v>
      </c>
      <c r="AN49" s="22">
        <f t="shared" si="19"/>
        <v>0.57340118865440048</v>
      </c>
      <c r="AO49" s="23">
        <v>0.11957671957671957</v>
      </c>
      <c r="AP49" s="33">
        <v>5.6655500000000005E-4</v>
      </c>
      <c r="AQ49" s="23">
        <v>-1.2467579233344663</v>
      </c>
      <c r="AR49" s="23">
        <v>28099</v>
      </c>
      <c r="AS49" s="23">
        <v>4.4486908643104268</v>
      </c>
      <c r="AT49" s="23">
        <v>4.3857313609887845</v>
      </c>
      <c r="AU49" s="22">
        <v>0.996</v>
      </c>
      <c r="AV49" s="22">
        <v>0.79355108880000003</v>
      </c>
      <c r="AW49" s="22">
        <v>38.65</v>
      </c>
      <c r="AX49" s="22">
        <v>37.392000000000003</v>
      </c>
      <c r="AY49" s="22">
        <v>1</v>
      </c>
      <c r="AZ49" s="24">
        <v>17010</v>
      </c>
      <c r="BA49" s="24">
        <f t="shared" si="5"/>
        <v>4.230704313612569</v>
      </c>
      <c r="BB49" s="24">
        <v>7959</v>
      </c>
      <c r="BC49" s="24">
        <f t="shared" si="6"/>
        <v>3.9008585047019917</v>
      </c>
      <c r="BD49" s="24">
        <v>9051</v>
      </c>
      <c r="BE49" s="23">
        <v>2034</v>
      </c>
      <c r="BF49" s="23">
        <f t="shared" si="20"/>
        <v>256.5</v>
      </c>
      <c r="BG49" s="23">
        <v>0.33727810650887574</v>
      </c>
      <c r="BH49" s="23">
        <v>7.2386917683903346E-2</v>
      </c>
      <c r="BI49" s="23">
        <v>6.257456699716131E-2</v>
      </c>
      <c r="BJ49" s="23">
        <v>3.0282916868052148E-2</v>
      </c>
      <c r="BK49" s="23">
        <v>0.15681052474861187</v>
      </c>
      <c r="BL49" s="23">
        <v>1521</v>
      </c>
      <c r="BM49" s="22">
        <v>2476</v>
      </c>
      <c r="BN49" s="22">
        <f t="shared" si="21"/>
        <v>238</v>
      </c>
      <c r="BO49" s="22">
        <v>3.3937506403480802</v>
      </c>
      <c r="BP49" s="22">
        <v>0.14556143445032335</v>
      </c>
      <c r="BQ49" s="22">
        <v>6.0339544431566028E-3</v>
      </c>
      <c r="BR49" s="22">
        <v>9.1252121906778699E-3</v>
      </c>
      <c r="BS49" s="22">
        <v>-552</v>
      </c>
      <c r="BT49" s="22">
        <v>2.741939077729199</v>
      </c>
      <c r="BU49" s="22">
        <v>1.9644827218050463E-2</v>
      </c>
      <c r="BV49" s="23">
        <v>2138</v>
      </c>
      <c r="BW49" s="22">
        <v>9475</v>
      </c>
      <c r="BX49" s="22">
        <v>41.31</v>
      </c>
      <c r="BY49" s="22">
        <v>1.6160551949765862</v>
      </c>
      <c r="BZ49" s="25">
        <v>0.12838022398251853</v>
      </c>
      <c r="CA49" s="23">
        <v>3.3457083478289622E-2</v>
      </c>
      <c r="CB49" s="23">
        <v>3.3457083478289622</v>
      </c>
      <c r="CC49" s="23">
        <v>0.52448807994703073</v>
      </c>
      <c r="CD49" s="23">
        <v>3.0612571544382627E-2</v>
      </c>
      <c r="CE49" s="23">
        <v>2.2271907292323895E-2</v>
      </c>
      <c r="CF49" s="23">
        <v>1.2325285895806861</v>
      </c>
      <c r="CG49" s="23">
        <f t="shared" si="7"/>
        <v>0.20906782308002525</v>
      </c>
      <c r="CH49" s="26">
        <v>17.75</v>
      </c>
      <c r="CI49" s="26">
        <v>21.68</v>
      </c>
      <c r="CJ49" s="26">
        <v>1.249198357391113</v>
      </c>
      <c r="CK49" s="26">
        <v>1.3360592778663494</v>
      </c>
      <c r="CL49" s="26">
        <v>-0.18127306273062729</v>
      </c>
      <c r="CM49" s="27">
        <v>23.674061302682002</v>
      </c>
      <c r="CN49" s="27">
        <v>-0.27837903806917774</v>
      </c>
      <c r="CO49" s="27">
        <v>13.172845849802364</v>
      </c>
      <c r="CP49" s="27">
        <v>-0.10311875153058132</v>
      </c>
      <c r="CQ49" s="27">
        <v>93.814615384615436</v>
      </c>
      <c r="CR49" s="27">
        <v>-0.26896460779054171</v>
      </c>
      <c r="CS49" s="27">
        <v>1.0575095785440605</v>
      </c>
      <c r="CT49" s="27">
        <v>1.3546743295019157</v>
      </c>
      <c r="CU49" s="27">
        <v>-0.21936250247475808</v>
      </c>
      <c r="CV49" s="27">
        <v>1.2699233716475098</v>
      </c>
      <c r="CW49" s="27">
        <v>2.1037775160152683</v>
      </c>
      <c r="CX49" s="28">
        <v>0.92</v>
      </c>
      <c r="CY49" s="28">
        <v>1.03</v>
      </c>
      <c r="CZ49" s="29">
        <v>26.404674329999999</v>
      </c>
      <c r="DA49" s="27">
        <v>-0.21369918349816944</v>
      </c>
      <c r="DB49" s="27">
        <v>3.3676575479931978</v>
      </c>
      <c r="DC49" s="27">
        <v>1.4102002336892525</v>
      </c>
      <c r="DD49" s="27">
        <v>1</v>
      </c>
      <c r="DE49" s="27">
        <v>2.2999999999999998</v>
      </c>
      <c r="DF49" s="27">
        <v>100</v>
      </c>
      <c r="DG49" s="28">
        <v>4.6051701859880918</v>
      </c>
      <c r="DH49" s="27">
        <v>1</v>
      </c>
      <c r="DI49" s="27">
        <v>1.8</v>
      </c>
      <c r="DJ49" s="27">
        <v>2</v>
      </c>
      <c r="DK49" s="27">
        <v>2.5</v>
      </c>
      <c r="DL49" s="27">
        <v>2.4833477735949187E-2</v>
      </c>
      <c r="DM49" s="27">
        <v>0.74709999999999999</v>
      </c>
      <c r="DN49" s="28">
        <v>0.71719999999999995</v>
      </c>
      <c r="DO49" s="28">
        <v>4.8538011695906276E-2</v>
      </c>
      <c r="DP49" s="28">
        <f t="shared" si="22"/>
        <v>7.0650616222413323E-2</v>
      </c>
      <c r="DQ49" s="27">
        <v>0.14990000000000003</v>
      </c>
      <c r="DR49" s="27">
        <v>3.4239891893164551E-2</v>
      </c>
      <c r="DS49" s="27">
        <v>2.4180879115385762E-2</v>
      </c>
      <c r="DT49" s="27">
        <v>3.802148779895468E-2</v>
      </c>
      <c r="DU49" s="30">
        <v>9.6228090000000002</v>
      </c>
      <c r="DV49">
        <v>2.7</v>
      </c>
      <c r="DW49">
        <v>2.9</v>
      </c>
      <c r="DX49">
        <v>100</v>
      </c>
      <c r="DY49">
        <v>100</v>
      </c>
      <c r="DZ49">
        <v>0.2</v>
      </c>
      <c r="EA49">
        <v>2</v>
      </c>
      <c r="EB49">
        <v>1.2855829999999999</v>
      </c>
    </row>
    <row r="50" spans="1:132" ht="18">
      <c r="A50" s="14" t="s">
        <v>144</v>
      </c>
      <c r="B50" s="14">
        <v>10</v>
      </c>
      <c r="C50" s="14" t="s">
        <v>133</v>
      </c>
      <c r="D50" s="14" t="s">
        <v>134</v>
      </c>
      <c r="E50" s="14" t="s">
        <v>145</v>
      </c>
      <c r="F50" s="15">
        <v>2444</v>
      </c>
      <c r="G50" s="15">
        <v>3.3881012015705165</v>
      </c>
      <c r="H50" s="15">
        <v>894</v>
      </c>
      <c r="I50" s="15">
        <v>523</v>
      </c>
      <c r="J50" s="15">
        <v>1027</v>
      </c>
      <c r="K50" s="16">
        <v>1</v>
      </c>
      <c r="L50" s="17">
        <v>8.5977626116935199E-2</v>
      </c>
      <c r="M50" s="18">
        <v>140</v>
      </c>
      <c r="N50" s="18">
        <v>82</v>
      </c>
      <c r="O50" s="18">
        <v>0.96574266944399934</v>
      </c>
      <c r="P50" s="18">
        <v>3</v>
      </c>
      <c r="Q50" s="18">
        <f t="shared" si="15"/>
        <v>2.6666666666666665</v>
      </c>
      <c r="R50" s="18">
        <v>140</v>
      </c>
      <c r="S50" s="18">
        <v>5</v>
      </c>
      <c r="T50" s="19">
        <v>8509</v>
      </c>
      <c r="U50" s="19">
        <v>3.9298785236567833</v>
      </c>
      <c r="V50" s="20">
        <v>56036.75</v>
      </c>
      <c r="W50" s="20">
        <v>4.7484729392833307</v>
      </c>
      <c r="X50" s="20">
        <v>0.55000000000000004</v>
      </c>
      <c r="Y50" s="20">
        <v>0.38151445430000003</v>
      </c>
      <c r="Z50" s="20">
        <f t="shared" si="3"/>
        <v>-0.41848900343960382</v>
      </c>
      <c r="AA50" s="20"/>
      <c r="AB50" s="20"/>
      <c r="AC50" s="20">
        <v>7628</v>
      </c>
      <c r="AD50" s="21"/>
      <c r="AE50" s="21"/>
      <c r="AF50" s="21"/>
      <c r="AG50" s="22">
        <v>8.1967213114754103E-3</v>
      </c>
      <c r="AH50" s="22">
        <v>233</v>
      </c>
      <c r="AI50" s="22">
        <v>3.111985571</v>
      </c>
      <c r="AJ50" s="23">
        <v>101885</v>
      </c>
      <c r="AK50" s="23">
        <f t="shared" si="10"/>
        <v>5.0081102497890866</v>
      </c>
      <c r="AL50" s="24">
        <v>0.44047002800000001</v>
      </c>
      <c r="AM50" s="22">
        <f>9266+6962</f>
        <v>16228</v>
      </c>
      <c r="AN50" s="22">
        <f t="shared" si="19"/>
        <v>0.57088580876662209</v>
      </c>
      <c r="AO50" s="23">
        <v>9.6024433171135723E-2</v>
      </c>
      <c r="AP50" s="33">
        <v>2.2544279E-2</v>
      </c>
      <c r="AQ50" s="23">
        <v>0.35303635047299414</v>
      </c>
      <c r="AR50" s="23">
        <v>28426</v>
      </c>
      <c r="AS50" s="23">
        <v>4.4537157517007673</v>
      </c>
      <c r="AT50" s="23">
        <v>4.4486908643104268</v>
      </c>
      <c r="AU50" s="22">
        <v>0.96199999999999997</v>
      </c>
      <c r="AV50" s="22">
        <v>0.74036727329999996</v>
      </c>
      <c r="AW50" s="22">
        <v>37.96</v>
      </c>
      <c r="AX50" s="22">
        <v>38.65</v>
      </c>
      <c r="AY50" s="22">
        <v>1</v>
      </c>
      <c r="AZ50" s="24">
        <v>19318</v>
      </c>
      <c r="BA50" s="24">
        <f t="shared" si="5"/>
        <v>4.2859621617313932</v>
      </c>
      <c r="BB50" s="24">
        <v>9541</v>
      </c>
      <c r="BC50" s="24">
        <f t="shared" si="6"/>
        <v>3.9795938958489305</v>
      </c>
      <c r="BD50" s="24">
        <v>9777</v>
      </c>
      <c r="BE50" s="23">
        <v>1855</v>
      </c>
      <c r="BF50" s="23">
        <f t="shared" si="20"/>
        <v>89.5</v>
      </c>
      <c r="BG50" s="23">
        <v>-8.8003933136676496E-2</v>
      </c>
      <c r="BH50" s="23">
        <v>6.5257158938999513E-2</v>
      </c>
      <c r="BI50" s="23">
        <v>7.2386917683903346E-2</v>
      </c>
      <c r="BJ50" s="23">
        <v>3.0282916868052148E-2</v>
      </c>
      <c r="BK50" s="23">
        <v>-9.8495128305335689E-2</v>
      </c>
      <c r="BL50" s="23">
        <v>2034</v>
      </c>
      <c r="BM50" s="22">
        <v>1874</v>
      </c>
      <c r="BN50" s="22">
        <f t="shared" si="21"/>
        <v>301</v>
      </c>
      <c r="BO50" s="22">
        <v>3.2727695865517594</v>
      </c>
      <c r="BP50" s="22">
        <v>9.7007971839734961E-2</v>
      </c>
      <c r="BQ50" s="22">
        <v>2.4276731305294234E-2</v>
      </c>
      <c r="BR50" s="22">
        <v>6.0339544431566028E-3</v>
      </c>
      <c r="BS50" s="22">
        <v>-767</v>
      </c>
      <c r="BT50" s="22">
        <v>2.8847953639489812</v>
      </c>
      <c r="BU50" s="22">
        <v>2.6982340111165834E-2</v>
      </c>
      <c r="BV50" s="23">
        <v>2631</v>
      </c>
      <c r="BW50" s="22">
        <v>9031</v>
      </c>
      <c r="BX50" s="22">
        <v>43.82</v>
      </c>
      <c r="BY50" s="22">
        <v>1.6416723732246865</v>
      </c>
      <c r="BZ50" s="25">
        <v>6.076010651174045E-2</v>
      </c>
      <c r="CA50" s="23">
        <v>2.2271907292323895E-2</v>
      </c>
      <c r="CB50" s="23">
        <v>2.2271907292323894</v>
      </c>
      <c r="CC50" s="23">
        <v>0.34775741016664086</v>
      </c>
      <c r="CD50" s="23">
        <v>3.3457083478289622E-2</v>
      </c>
      <c r="CE50" s="23">
        <v>2.5456269123226564E-2</v>
      </c>
      <c r="CF50" s="23">
        <v>1.2681297709923662</v>
      </c>
      <c r="CG50" s="23">
        <f t="shared" si="7"/>
        <v>0.23754319383225772</v>
      </c>
      <c r="CH50" s="26">
        <v>23.4</v>
      </c>
      <c r="CI50" s="26">
        <v>17.75</v>
      </c>
      <c r="CJ50" s="26">
        <v>1.3692158574101427</v>
      </c>
      <c r="CK50" s="26">
        <v>1.249198357391113</v>
      </c>
      <c r="CL50" s="26">
        <v>0.31830985915492949</v>
      </c>
      <c r="CM50" s="27">
        <v>25.275999999999993</v>
      </c>
      <c r="CN50" s="27">
        <v>6.7666408261623831E-2</v>
      </c>
      <c r="CO50" s="27">
        <v>14.393934426229498</v>
      </c>
      <c r="CP50" s="27">
        <v>9.2697401180433139E-2</v>
      </c>
      <c r="CQ50" s="27">
        <v>94.493822393822356</v>
      </c>
      <c r="CR50" s="27">
        <v>7.2398848134946573E-3</v>
      </c>
      <c r="CS50" s="27">
        <v>1.0720384615384604</v>
      </c>
      <c r="CT50" s="27">
        <v>1.0575095785440605</v>
      </c>
      <c r="CU50" s="27">
        <v>1.37387720065881E-2</v>
      </c>
      <c r="CV50" s="27">
        <v>1.268846153846154</v>
      </c>
      <c r="CW50" s="27">
        <v>2.1034089675745258</v>
      </c>
      <c r="CX50" s="28">
        <v>0.92</v>
      </c>
      <c r="CY50" s="28">
        <v>0.92</v>
      </c>
      <c r="CZ50" s="29">
        <v>29.99596154</v>
      </c>
      <c r="DA50" s="27">
        <v>0.13600952487112158</v>
      </c>
      <c r="DB50" s="27">
        <v>1.9709466682529033</v>
      </c>
      <c r="DC50" s="27">
        <v>3.3676575479931978</v>
      </c>
      <c r="DD50" s="27">
        <v>1</v>
      </c>
      <c r="DE50" s="27">
        <v>1.9</v>
      </c>
      <c r="DF50" s="27">
        <v>100.9</v>
      </c>
      <c r="DG50" s="28">
        <v>4.6141299273595635</v>
      </c>
      <c r="DH50" s="27">
        <v>1.01092</v>
      </c>
      <c r="DI50" s="27">
        <v>1.7</v>
      </c>
      <c r="DJ50" s="27">
        <v>2.4</v>
      </c>
      <c r="DK50" s="27">
        <v>2.7</v>
      </c>
      <c r="DL50" s="27">
        <v>1.6688062333233E-2</v>
      </c>
      <c r="DM50" s="27">
        <v>0.77139999999999997</v>
      </c>
      <c r="DN50" s="28">
        <v>0.69699999999999995</v>
      </c>
      <c r="DO50" s="28">
        <v>-2.8165086447295033E-2</v>
      </c>
      <c r="DP50" s="28">
        <f>(DM50-DM49)/DM49</f>
        <v>3.2525766296345855E-2</v>
      </c>
      <c r="DQ50" s="27">
        <v>0.10270000000000001</v>
      </c>
      <c r="DR50" s="27">
        <v>2.4180879115385762E-2</v>
      </c>
      <c r="DS50" s="27">
        <v>2.0079372103467861E-2</v>
      </c>
      <c r="DT50" s="27">
        <v>3.4239891893164551E-2</v>
      </c>
      <c r="DU50" s="30">
        <v>8.9420310000000001</v>
      </c>
      <c r="DV50">
        <v>2.2000000000000002</v>
      </c>
      <c r="DW50">
        <v>2.4</v>
      </c>
      <c r="DX50">
        <v>102.1</v>
      </c>
      <c r="DY50">
        <v>102.1</v>
      </c>
      <c r="DZ50">
        <v>0.9</v>
      </c>
      <c r="EA50">
        <v>0.7</v>
      </c>
      <c r="EB50">
        <v>1.494866</v>
      </c>
    </row>
    <row r="51" spans="1:132" ht="18">
      <c r="A51" s="14" t="s">
        <v>144</v>
      </c>
      <c r="B51" s="14">
        <v>11</v>
      </c>
      <c r="C51" s="14" t="s">
        <v>133</v>
      </c>
      <c r="D51" s="14" t="s">
        <v>134</v>
      </c>
      <c r="E51" s="14" t="s">
        <v>145</v>
      </c>
      <c r="F51" s="15">
        <v>2462</v>
      </c>
      <c r="G51" s="15">
        <v>3.3912880485952974</v>
      </c>
      <c r="H51" s="15">
        <v>934</v>
      </c>
      <c r="I51" s="15">
        <v>390</v>
      </c>
      <c r="J51" s="15">
        <v>1138</v>
      </c>
      <c r="K51" s="16">
        <v>1</v>
      </c>
      <c r="L51" s="17">
        <v>8.3353082574398218E-2</v>
      </c>
      <c r="M51" s="18">
        <v>140</v>
      </c>
      <c r="N51" s="18">
        <v>82</v>
      </c>
      <c r="O51" s="18">
        <v>0.96574266944399934</v>
      </c>
      <c r="P51" s="18">
        <v>3</v>
      </c>
      <c r="Q51" s="18">
        <f t="shared" si="15"/>
        <v>2.6666666666666665</v>
      </c>
      <c r="R51" s="18">
        <v>140</v>
      </c>
      <c r="S51" s="18">
        <v>5</v>
      </c>
      <c r="T51" s="19">
        <v>10021</v>
      </c>
      <c r="U51" s="19">
        <v>4.0009110621312232</v>
      </c>
      <c r="V51" s="20">
        <v>60416.59</v>
      </c>
      <c r="W51" s="20">
        <v>4.7811562094182971</v>
      </c>
      <c r="X51" s="20">
        <v>0.59</v>
      </c>
      <c r="Y51" s="20">
        <v>0.3810107949</v>
      </c>
      <c r="Z51" s="20">
        <f t="shared" si="3"/>
        <v>-0.41906271960236263</v>
      </c>
      <c r="AA51" s="20"/>
      <c r="AB51" s="20"/>
      <c r="AC51" s="20">
        <v>7765</v>
      </c>
      <c r="AD51" s="21"/>
      <c r="AE51" s="21"/>
      <c r="AF51" s="21"/>
      <c r="AG51" s="22">
        <v>8.7009513491552969E-3</v>
      </c>
      <c r="AH51" s="22">
        <v>257</v>
      </c>
      <c r="AI51" s="22">
        <v>3.2805614489999999</v>
      </c>
      <c r="AJ51" s="23">
        <v>102401</v>
      </c>
      <c r="AK51" s="23">
        <f t="shared" si="10"/>
        <v>5.0103041977761533</v>
      </c>
      <c r="AL51" s="24">
        <v>0.48018592199999999</v>
      </c>
      <c r="AM51" s="22">
        <f>8730+8553</f>
        <v>17283</v>
      </c>
      <c r="AN51" s="22">
        <f t="shared" si="19"/>
        <v>0.58513051427023732</v>
      </c>
      <c r="AO51" s="23">
        <v>8.5629402462983367E-2</v>
      </c>
      <c r="AP51" s="33">
        <v>1.6723691999999998E-2</v>
      </c>
      <c r="AQ51" s="23">
        <v>0.22333216055667346</v>
      </c>
      <c r="AR51" s="23">
        <v>29537</v>
      </c>
      <c r="AS51" s="23">
        <v>4.4703663830000071</v>
      </c>
      <c r="AT51" s="23">
        <v>4.4537157517007673</v>
      </c>
      <c r="AU51" s="22">
        <v>1.0169999999999999</v>
      </c>
      <c r="AV51" s="22">
        <v>0.77705239110000002</v>
      </c>
      <c r="AW51" s="22">
        <v>40.200000000000003</v>
      </c>
      <c r="AX51" s="22">
        <v>37.96</v>
      </c>
      <c r="AY51" s="22">
        <v>1</v>
      </c>
      <c r="AZ51" s="24">
        <v>20869</v>
      </c>
      <c r="BA51" s="24">
        <f t="shared" si="5"/>
        <v>4.3195016390564946</v>
      </c>
      <c r="BB51" s="24">
        <v>10409</v>
      </c>
      <c r="BC51" s="24">
        <f t="shared" si="6"/>
        <v>4.0174090085362106</v>
      </c>
      <c r="BD51" s="24">
        <v>10460</v>
      </c>
      <c r="BE51" s="23">
        <v>1787</v>
      </c>
      <c r="BF51" s="23">
        <f t="shared" si="20"/>
        <v>34</v>
      </c>
      <c r="BG51" s="23">
        <v>-3.6657681940700806E-2</v>
      </c>
      <c r="BH51" s="23">
        <v>6.0500389342180994E-2</v>
      </c>
      <c r="BI51" s="23">
        <v>6.5257158938999513E-2</v>
      </c>
      <c r="BJ51" s="23">
        <v>3.0282916868052148E-2</v>
      </c>
      <c r="BK51" s="23">
        <v>-7.2892686015721408E-2</v>
      </c>
      <c r="BL51" s="23">
        <v>1855</v>
      </c>
      <c r="BM51" s="22">
        <v>2088</v>
      </c>
      <c r="BN51" s="22">
        <f t="shared" si="21"/>
        <v>107</v>
      </c>
      <c r="BO51" s="22">
        <v>3.3197304943302246</v>
      </c>
      <c r="BP51" s="22">
        <v>0.10005270976088936</v>
      </c>
      <c r="BQ51" s="22">
        <v>1.5223689605771973E-3</v>
      </c>
      <c r="BR51" s="22">
        <v>2.4276731305294234E-2</v>
      </c>
      <c r="BS51" s="22">
        <v>-1071</v>
      </c>
      <c r="BT51" s="22">
        <v>3.0297894708318558</v>
      </c>
      <c r="BU51" s="22">
        <v>3.6259606595117989E-2</v>
      </c>
      <c r="BV51" s="23">
        <v>2555</v>
      </c>
      <c r="BW51" s="22">
        <v>9522</v>
      </c>
      <c r="BX51" s="22">
        <v>46.2</v>
      </c>
      <c r="BY51" s="22">
        <v>1.6646419755561255</v>
      </c>
      <c r="BZ51" s="25">
        <v>5.4313099041533607E-2</v>
      </c>
      <c r="CA51" s="23">
        <v>2.5456269123226564E-2</v>
      </c>
      <c r="CB51" s="23">
        <v>2.5456269123226565</v>
      </c>
      <c r="CC51" s="23">
        <v>0.40579475368035151</v>
      </c>
      <c r="CD51" s="23">
        <v>2.2271907292323895E-2</v>
      </c>
      <c r="CE51" s="23">
        <v>1.6811412049824882E-2</v>
      </c>
      <c r="CF51" s="23">
        <v>1.204998903749178</v>
      </c>
      <c r="CG51" s="23">
        <f t="shared" si="7"/>
        <v>0.18647865719048495</v>
      </c>
      <c r="CH51" s="26">
        <v>18.02</v>
      </c>
      <c r="CI51" s="26">
        <v>23.4</v>
      </c>
      <c r="CJ51" s="26">
        <v>1.2557547866430441</v>
      </c>
      <c r="CK51" s="26">
        <v>1.3692158574101427</v>
      </c>
      <c r="CL51" s="26">
        <v>-0.22991452991452987</v>
      </c>
      <c r="CM51" s="27">
        <v>18.608429118773955</v>
      </c>
      <c r="CN51" s="27">
        <v>-0.26379058716672099</v>
      </c>
      <c r="CO51" s="27">
        <v>10.244782608695646</v>
      </c>
      <c r="CP51" s="27">
        <v>-0.28825696259759365</v>
      </c>
      <c r="CQ51" s="27">
        <v>71.254230769230816</v>
      </c>
      <c r="CR51" s="27">
        <v>-0.24593768180670883</v>
      </c>
      <c r="CS51" s="27">
        <v>0.83494252873563157</v>
      </c>
      <c r="CT51" s="27">
        <v>1.0720384615384604</v>
      </c>
      <c r="CU51" s="27">
        <v>-0.22116364413136569</v>
      </c>
      <c r="CV51" s="27">
        <v>0.95088122605364045</v>
      </c>
      <c r="CW51" s="27">
        <v>1.9781262728880398</v>
      </c>
      <c r="CX51" s="28">
        <v>0.54</v>
      </c>
      <c r="CY51" s="28">
        <v>0.92</v>
      </c>
      <c r="CZ51" s="29">
        <v>24.56237548</v>
      </c>
      <c r="DA51" s="27">
        <v>-0.18114392008251654</v>
      </c>
      <c r="DB51" s="27">
        <v>1.7682050254071211</v>
      </c>
      <c r="DC51" s="27">
        <v>1.9709466682529033</v>
      </c>
      <c r="DD51" s="27">
        <v>1</v>
      </c>
      <c r="DE51" s="27">
        <v>2</v>
      </c>
      <c r="DF51" s="27">
        <v>102.2</v>
      </c>
      <c r="DG51" s="28">
        <v>4.6269316777696039</v>
      </c>
      <c r="DH51" s="27">
        <v>1.0259199999999999</v>
      </c>
      <c r="DI51" s="27">
        <v>1.6</v>
      </c>
      <c r="DJ51" s="27">
        <v>1.3</v>
      </c>
      <c r="DK51" s="27">
        <v>1.9</v>
      </c>
      <c r="DL51" s="27">
        <v>1.6829215601661535E-2</v>
      </c>
      <c r="DM51" s="27">
        <v>0.75800000000000001</v>
      </c>
      <c r="DN51" s="28">
        <v>0.74839999999999995</v>
      </c>
      <c r="DO51" s="28">
        <v>7.3744619799139169E-2</v>
      </c>
      <c r="DP51" s="28">
        <f t="shared" si="22"/>
        <v>-1.7371013741249636E-2</v>
      </c>
      <c r="DQ51" s="27">
        <v>8.4699999999999998E-2</v>
      </c>
      <c r="DR51" s="27">
        <v>2.0079372103467861E-2</v>
      </c>
      <c r="DS51" s="27">
        <v>1.50675227484701E-2</v>
      </c>
      <c r="DT51" s="27">
        <v>2.4180879115385762E-2</v>
      </c>
      <c r="DU51" s="30">
        <v>8.0652849999999994</v>
      </c>
      <c r="DV51">
        <v>0.9</v>
      </c>
      <c r="DW51">
        <v>1.4</v>
      </c>
      <c r="DX51">
        <v>103.9</v>
      </c>
      <c r="DY51">
        <v>103.8</v>
      </c>
      <c r="DZ51">
        <v>0.1</v>
      </c>
      <c r="EA51">
        <v>0</v>
      </c>
      <c r="EB51">
        <v>1.826854</v>
      </c>
    </row>
    <row r="52" spans="1:132" ht="18">
      <c r="A52" s="14" t="s">
        <v>144</v>
      </c>
      <c r="B52" s="14">
        <v>12</v>
      </c>
      <c r="C52" s="14" t="s">
        <v>133</v>
      </c>
      <c r="D52" s="14" t="s">
        <v>134</v>
      </c>
      <c r="E52" s="14" t="s">
        <v>145</v>
      </c>
      <c r="F52" s="15">
        <v>2609</v>
      </c>
      <c r="G52" s="15">
        <v>3.4164740791002206</v>
      </c>
      <c r="H52" s="15">
        <v>1782</v>
      </c>
      <c r="I52" s="15">
        <v>332</v>
      </c>
      <c r="J52" s="15">
        <v>495</v>
      </c>
      <c r="K52" s="16">
        <v>1</v>
      </c>
      <c r="L52" s="17">
        <v>8.4357216761510603E-2</v>
      </c>
      <c r="M52" s="18">
        <v>140</v>
      </c>
      <c r="N52" s="18">
        <v>82</v>
      </c>
      <c r="O52" s="18">
        <v>0.96574266944399934</v>
      </c>
      <c r="P52" s="18">
        <v>3</v>
      </c>
      <c r="Q52" s="18">
        <f t="shared" si="15"/>
        <v>2.6666666666666665</v>
      </c>
      <c r="R52" s="18">
        <v>140</v>
      </c>
      <c r="S52" s="18">
        <v>5</v>
      </c>
      <c r="T52" s="19">
        <v>13101</v>
      </c>
      <c r="U52" s="19">
        <v>4.1173044466410023</v>
      </c>
      <c r="V52" s="20">
        <v>64878.04</v>
      </c>
      <c r="W52" s="20">
        <v>4.8120977211346307</v>
      </c>
      <c r="X52" s="20">
        <v>0.62</v>
      </c>
      <c r="Y52" s="20">
        <v>0.50256758069999996</v>
      </c>
      <c r="Z52" s="20">
        <f t="shared" si="3"/>
        <v>-0.2988055300235935</v>
      </c>
      <c r="AA52" s="20"/>
      <c r="AB52" s="20"/>
      <c r="AC52" s="20">
        <v>10374</v>
      </c>
      <c r="AD52" s="21"/>
      <c r="AE52" s="21"/>
      <c r="AF52" s="21"/>
      <c r="AG52" s="22">
        <v>8.8916192446973612E-3</v>
      </c>
      <c r="AH52" s="22">
        <v>275</v>
      </c>
      <c r="AI52" s="22">
        <v>3.9807368620000001</v>
      </c>
      <c r="AJ52" s="23">
        <v>104642</v>
      </c>
      <c r="AK52" s="23">
        <f t="shared" si="10"/>
        <v>5.0197060316363764</v>
      </c>
      <c r="AL52" s="24">
        <v>0.615128181</v>
      </c>
      <c r="AM52" s="22">
        <f>9592+10607</f>
        <v>20199</v>
      </c>
      <c r="AN52" s="22">
        <f t="shared" si="19"/>
        <v>0.65309751681324368</v>
      </c>
      <c r="AO52" s="23">
        <v>7.2776786552727957E-2</v>
      </c>
      <c r="AP52" s="33">
        <v>7.2558978999999996E-2</v>
      </c>
      <c r="AQ52" s="23">
        <v>0.86069116300207027</v>
      </c>
      <c r="AR52" s="23">
        <v>30928</v>
      </c>
      <c r="AS52" s="23">
        <v>4.4903518366844777</v>
      </c>
      <c r="AT52" s="23">
        <v>4.4703663830000071</v>
      </c>
      <c r="AU52" s="22">
        <v>1.419</v>
      </c>
      <c r="AV52" s="22">
        <v>1.1152982979999999</v>
      </c>
      <c r="AW52" s="22">
        <v>42.57</v>
      </c>
      <c r="AX52" s="22">
        <v>40.200000000000003</v>
      </c>
      <c r="AY52" s="22">
        <v>1</v>
      </c>
      <c r="AZ52" s="24">
        <v>21298</v>
      </c>
      <c r="BA52" s="24">
        <f t="shared" si="5"/>
        <v>4.3283388226995276</v>
      </c>
      <c r="BB52" s="24">
        <v>10977</v>
      </c>
      <c r="BC52" s="24">
        <f t="shared" si="6"/>
        <v>4.0404836642062696</v>
      </c>
      <c r="BD52" s="24">
        <v>10321</v>
      </c>
      <c r="BE52" s="23">
        <v>1550</v>
      </c>
      <c r="BF52" s="23">
        <f t="shared" si="20"/>
        <v>118.5</v>
      </c>
      <c r="BG52" s="23">
        <v>-0.13262451035254616</v>
      </c>
      <c r="BH52" s="23">
        <v>5.0116399379203314E-2</v>
      </c>
      <c r="BI52" s="23">
        <v>6.0500389342180994E-2</v>
      </c>
      <c r="BJ52" s="23">
        <v>3.0282916868052148E-2</v>
      </c>
      <c r="BK52" s="23">
        <v>-0.17163509319332498</v>
      </c>
      <c r="BL52" s="23">
        <v>1787</v>
      </c>
      <c r="BM52" s="22">
        <v>2356</v>
      </c>
      <c r="BN52" s="22">
        <f t="shared" si="21"/>
        <v>134</v>
      </c>
      <c r="BO52" s="22">
        <v>3.372175286115064</v>
      </c>
      <c r="BP52" s="22">
        <v>0.11062071556014649</v>
      </c>
      <c r="BQ52" s="22">
        <v>5.284002899628569E-3</v>
      </c>
      <c r="BR52" s="22">
        <v>1.5223689605771973E-3</v>
      </c>
      <c r="BS52" s="22">
        <v>-2156</v>
      </c>
      <c r="BT52" s="22">
        <v>3.3336487565147013</v>
      </c>
      <c r="BU52" s="22">
        <v>6.9710294878427309E-2</v>
      </c>
      <c r="BV52" s="23">
        <v>2499</v>
      </c>
      <c r="BW52" s="22">
        <v>11927</v>
      </c>
      <c r="BX52" s="22">
        <v>49.67</v>
      </c>
      <c r="BY52" s="22">
        <v>1.6960941599952233</v>
      </c>
      <c r="BZ52" s="25">
        <v>7.5108225108225082E-2</v>
      </c>
      <c r="CA52" s="23">
        <v>1.6811412049824882E-2</v>
      </c>
      <c r="CB52" s="23">
        <v>1.6811412049824881</v>
      </c>
      <c r="CC52" s="23">
        <v>0.22560419289765496</v>
      </c>
      <c r="CD52" s="23">
        <v>2.5456269123226564E-2</v>
      </c>
      <c r="CE52" s="23">
        <v>2.6125542330590914E-2</v>
      </c>
      <c r="CF52" s="23">
        <v>1.2284088599878074</v>
      </c>
      <c r="CG52" s="23">
        <f t="shared" si="7"/>
        <v>0.20571972218291484</v>
      </c>
      <c r="CH52" s="26">
        <v>13.72</v>
      </c>
      <c r="CI52" s="26">
        <v>18.02</v>
      </c>
      <c r="CJ52" s="26">
        <v>1.1373541113707328</v>
      </c>
      <c r="CK52" s="26">
        <v>1.2557547866430441</v>
      </c>
      <c r="CL52" s="26">
        <v>-0.23862375138734734</v>
      </c>
      <c r="CM52" s="27">
        <v>14.834099616858232</v>
      </c>
      <c r="CN52" s="27">
        <v>-0.20282902322516949</v>
      </c>
      <c r="CO52" s="27">
        <v>8.3248809523809495</v>
      </c>
      <c r="CP52" s="27">
        <v>-0.18740286930882333</v>
      </c>
      <c r="CQ52" s="27">
        <v>73.031538461538446</v>
      </c>
      <c r="CR52" s="27">
        <v>2.494318825872599E-2</v>
      </c>
      <c r="CS52" s="27">
        <v>0.8023754789272034</v>
      </c>
      <c r="CT52" s="27">
        <v>0.83494252873563157</v>
      </c>
      <c r="CU52" s="27">
        <v>-3.9005139500733109E-2</v>
      </c>
      <c r="CV52" s="27">
        <v>0.96896551724137914</v>
      </c>
      <c r="CW52" s="27">
        <v>1.9863083220061237</v>
      </c>
      <c r="CX52" s="28">
        <v>0.62</v>
      </c>
      <c r="CY52" s="28">
        <v>0.54</v>
      </c>
      <c r="CZ52" s="29">
        <v>18.565019159999999</v>
      </c>
      <c r="DA52" s="27">
        <v>-0.24416841623821645</v>
      </c>
      <c r="DB52" s="27">
        <v>1.1698744465812936</v>
      </c>
      <c r="DC52" s="27">
        <v>1.7682050254071211</v>
      </c>
      <c r="DD52" s="27">
        <v>1</v>
      </c>
      <c r="DE52" s="27">
        <v>2</v>
      </c>
      <c r="DF52" s="27">
        <v>103</v>
      </c>
      <c r="DG52" s="28">
        <v>4.6347289882296359</v>
      </c>
      <c r="DH52" s="27">
        <v>1.0334399999999999</v>
      </c>
      <c r="DI52" s="27">
        <v>1.6</v>
      </c>
      <c r="DJ52" s="27">
        <v>1.4</v>
      </c>
      <c r="DK52" s="27">
        <v>1.3</v>
      </c>
      <c r="DL52" s="27">
        <v>1.2152522197973097E-2</v>
      </c>
      <c r="DM52" s="27">
        <v>0.72770000000000001</v>
      </c>
      <c r="DN52" s="28">
        <v>0.77380000000000004</v>
      </c>
      <c r="DO52" s="28">
        <v>3.3939070016034328E-2</v>
      </c>
      <c r="DP52" s="28">
        <f>(DM52-DM51)/DM51</f>
        <v>-3.9973614775725586E-2</v>
      </c>
      <c r="DQ52" s="27">
        <v>5.8499999999999996E-2</v>
      </c>
      <c r="DR52" s="27">
        <v>1.50675227484701E-2</v>
      </c>
      <c r="DS52" s="27">
        <v>3.1335239457349999E-2</v>
      </c>
      <c r="DT52" s="27">
        <v>2.0079372103467861E-2</v>
      </c>
      <c r="DU52" s="30">
        <v>7.3719619999999999</v>
      </c>
      <c r="DV52">
        <v>1.5</v>
      </c>
      <c r="DW52">
        <v>2.1</v>
      </c>
      <c r="DX52">
        <v>105.4</v>
      </c>
      <c r="DY52">
        <v>105.7</v>
      </c>
      <c r="DZ52">
        <v>0.2</v>
      </c>
      <c r="EA52">
        <v>0.8</v>
      </c>
      <c r="EB52">
        <v>1.343728</v>
      </c>
    </row>
    <row r="53" spans="1:132" ht="18">
      <c r="A53" s="14" t="s">
        <v>144</v>
      </c>
      <c r="B53" s="14">
        <v>13</v>
      </c>
      <c r="C53" s="14" t="s">
        <v>133</v>
      </c>
      <c r="D53" s="14" t="s">
        <v>134</v>
      </c>
      <c r="E53" s="14" t="s">
        <v>145</v>
      </c>
      <c r="F53" s="15">
        <v>3506</v>
      </c>
      <c r="G53" s="15">
        <v>3.5448119117577761</v>
      </c>
      <c r="H53" s="15">
        <v>2122</v>
      </c>
      <c r="I53" s="15">
        <v>167</v>
      </c>
      <c r="J53" s="15">
        <v>1217</v>
      </c>
      <c r="K53" s="16">
        <v>1</v>
      </c>
      <c r="L53" s="17">
        <v>0.11043563171323274</v>
      </c>
      <c r="M53" s="18">
        <v>140</v>
      </c>
      <c r="N53" s="18">
        <v>82</v>
      </c>
      <c r="O53" s="18">
        <v>0.96574266944399934</v>
      </c>
      <c r="P53" s="18">
        <v>3</v>
      </c>
      <c r="Q53" s="18">
        <f t="shared" si="15"/>
        <v>2.6666666666666665</v>
      </c>
      <c r="R53" s="18">
        <v>140</v>
      </c>
      <c r="S53" s="18">
        <v>5</v>
      </c>
      <c r="T53" s="19">
        <v>12622</v>
      </c>
      <c r="U53" s="19">
        <v>4.101128175838757</v>
      </c>
      <c r="V53" s="20">
        <v>63953.279999999999</v>
      </c>
      <c r="W53" s="20">
        <v>4.8058628232379865</v>
      </c>
      <c r="X53" s="20">
        <v>0.64</v>
      </c>
      <c r="Y53" s="20">
        <v>0.50963155110000002</v>
      </c>
      <c r="Z53" s="20">
        <f t="shared" si="3"/>
        <v>-0.2927436928303554</v>
      </c>
      <c r="AA53" s="20"/>
      <c r="AB53" s="20"/>
      <c r="AC53" s="20">
        <v>10609</v>
      </c>
      <c r="AE53" s="21"/>
      <c r="AF53" s="21"/>
      <c r="AG53" s="22">
        <v>8.5677386839701393E-3</v>
      </c>
      <c r="AH53" s="22">
        <v>272</v>
      </c>
      <c r="AI53" s="22">
        <v>3.3344733240000002</v>
      </c>
      <c r="AJ53" s="23">
        <v>99927</v>
      </c>
      <c r="AK53" s="23">
        <f t="shared" si="10"/>
        <v>4.999682849254099</v>
      </c>
      <c r="AL53" s="24">
        <v>0.59695421900000001</v>
      </c>
      <c r="AM53" s="22">
        <f>9377+10625</f>
        <v>20002</v>
      </c>
      <c r="AN53" s="22">
        <f t="shared" si="19"/>
        <v>0.63004378366459823</v>
      </c>
      <c r="AO53" s="23">
        <v>5.9260310253499808E-2</v>
      </c>
      <c r="AP53" s="33">
        <v>7.1126720000000004E-2</v>
      </c>
      <c r="AQ53" s="23">
        <v>0.8520327817226625</v>
      </c>
      <c r="AR53" s="23">
        <v>31747</v>
      </c>
      <c r="AS53" s="23">
        <v>4.5017026919901006</v>
      </c>
      <c r="AT53" s="23">
        <v>4.4903518366844777</v>
      </c>
      <c r="AU53" s="22">
        <v>1.238</v>
      </c>
      <c r="AV53" s="22">
        <v>0.95271887820000001</v>
      </c>
      <c r="AW53" s="22">
        <v>39</v>
      </c>
      <c r="AX53" s="22">
        <v>42.57</v>
      </c>
      <c r="AY53" s="22">
        <v>1</v>
      </c>
      <c r="AZ53" s="24">
        <v>21144</v>
      </c>
      <c r="BA53" s="24">
        <f t="shared" si="5"/>
        <v>4.3251871501236536</v>
      </c>
      <c r="BB53" s="24">
        <v>11056</v>
      </c>
      <c r="BC53" s="24">
        <f t="shared" si="6"/>
        <v>4.0435980300301235</v>
      </c>
      <c r="BD53" s="24">
        <v>10088</v>
      </c>
      <c r="BE53" s="23">
        <v>1253</v>
      </c>
      <c r="BF53" s="23">
        <f t="shared" si="20"/>
        <v>148.5</v>
      </c>
      <c r="BG53" s="23">
        <v>-0.19161290322580646</v>
      </c>
      <c r="BH53" s="23">
        <v>3.9468296216965383E-2</v>
      </c>
      <c r="BI53" s="23">
        <v>5.0116399379203314E-2</v>
      </c>
      <c r="BJ53" s="23">
        <v>3.0282916868052148E-2</v>
      </c>
      <c r="BK53" s="23">
        <v>-0.2124674416785127</v>
      </c>
      <c r="BL53" s="23">
        <v>1550</v>
      </c>
      <c r="BM53" s="22">
        <v>2190</v>
      </c>
      <c r="BN53" s="22">
        <f>STDEVP(BM52:BM53)</f>
        <v>83</v>
      </c>
      <c r="BO53" s="22">
        <v>3.3404441148401185</v>
      </c>
      <c r="BP53" s="22">
        <v>0.10357548240635642</v>
      </c>
      <c r="BQ53" s="22">
        <v>3.5226165768950379E-3</v>
      </c>
      <c r="BR53" s="22">
        <v>5.284002899628569E-3</v>
      </c>
      <c r="BS53" s="22">
        <v>-1966</v>
      </c>
      <c r="BT53" s="22">
        <v>3.2935835134961167</v>
      </c>
      <c r="BU53" s="22">
        <v>6.1927111223107692E-2</v>
      </c>
      <c r="BV53" s="23">
        <v>2323</v>
      </c>
      <c r="BW53" s="22">
        <v>11143</v>
      </c>
      <c r="BX53" s="22">
        <v>53.17</v>
      </c>
      <c r="BY53" s="22">
        <v>1.7256666603141786</v>
      </c>
      <c r="BZ53" s="25">
        <v>7.0465069458425608E-2</v>
      </c>
      <c r="CA53" s="23">
        <v>2.6125542330590914E-2</v>
      </c>
      <c r="CB53" s="23">
        <v>2.6125542330590914</v>
      </c>
      <c r="CC53" s="23">
        <v>0.41706531457320922</v>
      </c>
      <c r="CD53" s="23">
        <v>1.6811412049824882E-2</v>
      </c>
      <c r="CE53" s="23">
        <v>1.9419039999999999E-2</v>
      </c>
      <c r="CF53" s="23">
        <v>1.1884957583281606</v>
      </c>
      <c r="CG53" s="23">
        <f t="shared" si="7"/>
        <v>0.17268843888297605</v>
      </c>
      <c r="CH53" s="26">
        <v>19.2</v>
      </c>
      <c r="CI53" s="26">
        <v>13.72</v>
      </c>
      <c r="CJ53" s="26">
        <v>1.2833012287035497</v>
      </c>
      <c r="CK53" s="26">
        <v>1.1373541113707328</v>
      </c>
      <c r="CL53" s="26">
        <v>0.39941690962099113</v>
      </c>
      <c r="CM53" s="27">
        <v>14.883180076628348</v>
      </c>
      <c r="CN53" s="27">
        <v>3.3086241186042575E-3</v>
      </c>
      <c r="CO53" s="27">
        <v>6.9159523809523806</v>
      </c>
      <c r="CP53" s="27">
        <v>-0.16924308941926786</v>
      </c>
      <c r="CQ53" s="27">
        <v>64.583076923076902</v>
      </c>
      <c r="CR53" s="27">
        <v>-0.11568237115682381</v>
      </c>
      <c r="CS53" s="27">
        <v>0.66574712643678124</v>
      </c>
      <c r="CT53" s="27">
        <v>0.8023754789272034</v>
      </c>
      <c r="CU53" s="27">
        <v>-0.1702798204564997</v>
      </c>
      <c r="CV53" s="27">
        <v>0.67685823754789287</v>
      </c>
      <c r="CW53" s="27">
        <v>1.8304977187626064</v>
      </c>
      <c r="CX53" s="28">
        <v>1.33</v>
      </c>
      <c r="CY53" s="28">
        <v>0.62</v>
      </c>
      <c r="CZ53" s="29">
        <v>18.278045980000002</v>
      </c>
      <c r="DA53" s="27">
        <v>-1.5457736807420394E-2</v>
      </c>
      <c r="DC53" s="27">
        <v>1.1698744465812936</v>
      </c>
      <c r="DD53" s="27">
        <v>1</v>
      </c>
      <c r="DE53" s="27">
        <v>1.5</v>
      </c>
      <c r="DF53" s="27">
        <v>104</v>
      </c>
      <c r="DG53" s="28">
        <v>4.6443908991413725</v>
      </c>
      <c r="DH53" s="27">
        <v>1.0435000000000001</v>
      </c>
      <c r="DI53" s="27">
        <v>1.6</v>
      </c>
      <c r="DJ53" s="27">
        <v>0.7</v>
      </c>
      <c r="DK53" s="27">
        <v>1</v>
      </c>
      <c r="DL53" s="27">
        <v>1.7108786898118553E-2</v>
      </c>
      <c r="DM53" s="27">
        <v>0.8266</v>
      </c>
      <c r="DN53" s="28">
        <v>0.75860000000000005</v>
      </c>
      <c r="DO53" s="28">
        <v>-1.9643318686999211E-2</v>
      </c>
      <c r="DP53" s="28">
        <f t="shared" si="22"/>
        <v>0.13590765425312626</v>
      </c>
      <c r="DQ53" s="27">
        <v>0.10860000000000003</v>
      </c>
      <c r="DR53" s="27">
        <v>3.1335239457349999E-2</v>
      </c>
      <c r="DS53" s="27">
        <v>2.7611694356583942E-2</v>
      </c>
      <c r="DT53" s="27">
        <v>1.50675227484701E-2</v>
      </c>
      <c r="DU53" s="30">
        <v>6.1553740000000001</v>
      </c>
      <c r="DV53">
        <v>1.6</v>
      </c>
      <c r="DW53">
        <v>2.2999999999999998</v>
      </c>
      <c r="DX53">
        <v>107</v>
      </c>
      <c r="DY53">
        <v>107.5</v>
      </c>
      <c r="DZ53">
        <v>0.4</v>
      </c>
      <c r="EA53">
        <v>1.1000000000000001</v>
      </c>
      <c r="EB53">
        <v>1.4054869999999999</v>
      </c>
    </row>
    <row r="54" spans="1:132" ht="18">
      <c r="A54" s="14" t="s">
        <v>146</v>
      </c>
      <c r="B54" s="14">
        <v>1</v>
      </c>
      <c r="C54" s="14" t="s">
        <v>147</v>
      </c>
      <c r="D54" s="14" t="s">
        <v>148</v>
      </c>
      <c r="E54" s="14" t="s">
        <v>143</v>
      </c>
      <c r="F54" s="15">
        <v>3106</v>
      </c>
      <c r="G54" s="15">
        <v>3.4922014513925399</v>
      </c>
      <c r="H54" s="15">
        <v>857</v>
      </c>
      <c r="I54" s="15">
        <v>445</v>
      </c>
      <c r="J54" s="15">
        <v>1629</v>
      </c>
      <c r="K54" s="16">
        <v>1</v>
      </c>
      <c r="L54" s="17">
        <v>1.9096571101834034E-2</v>
      </c>
      <c r="M54" s="18">
        <v>220</v>
      </c>
      <c r="N54" s="18">
        <v>153</v>
      </c>
      <c r="O54" s="18">
        <v>0.89682539682539686</v>
      </c>
      <c r="P54" s="18">
        <v>3</v>
      </c>
      <c r="Q54" s="18">
        <f>(4+3+3)/3</f>
        <v>3.3333333333333335</v>
      </c>
      <c r="R54" s="18">
        <v>220</v>
      </c>
      <c r="S54" s="18">
        <v>5</v>
      </c>
      <c r="T54" s="19">
        <v>5911</v>
      </c>
      <c r="U54" s="19">
        <v>3.7716609593488872</v>
      </c>
      <c r="V54" s="20">
        <v>43010</v>
      </c>
      <c r="W54" s="20">
        <v>4.6335694425540916</v>
      </c>
      <c r="X54" s="20">
        <v>0.29180490253946934</v>
      </c>
      <c r="Y54" s="20">
        <v>4.272831195E-2</v>
      </c>
      <c r="Z54" s="20">
        <f t="shared" si="3"/>
        <v>-1.3692842643389314</v>
      </c>
      <c r="AA54" s="20">
        <v>0.2748344371</v>
      </c>
      <c r="AB54" s="20">
        <v>1328</v>
      </c>
      <c r="AC54" s="20">
        <v>6728</v>
      </c>
      <c r="AE54" s="21"/>
      <c r="AF54" s="21"/>
      <c r="AG54" s="22">
        <v>0</v>
      </c>
      <c r="AH54" s="22">
        <v>0</v>
      </c>
      <c r="AI54" s="22">
        <v>2.1841020609999999</v>
      </c>
      <c r="AJ54" s="23">
        <v>147393</v>
      </c>
      <c r="AK54" s="23">
        <f t="shared" si="10"/>
        <v>5.168476858464949</v>
      </c>
      <c r="AL54" s="24">
        <v>0.15057954400000001</v>
      </c>
      <c r="AM54" s="22">
        <v>144751</v>
      </c>
      <c r="AN54" s="22">
        <f t="shared" si="19"/>
        <v>0.88997030378672837</v>
      </c>
      <c r="AO54" s="23">
        <v>1.6787670360463636E-2</v>
      </c>
      <c r="AP54" s="23">
        <v>1.4249563475182277E-2</v>
      </c>
      <c r="AQ54" s="23">
        <v>0.15380156025868003</v>
      </c>
      <c r="AR54" s="23">
        <v>162647</v>
      </c>
      <c r="AS54" s="23">
        <v>5.2112460571938861</v>
      </c>
      <c r="AT54" s="23">
        <f>LOG(156702)</f>
        <v>5.1950745394387292</v>
      </c>
      <c r="AU54" s="22">
        <v>1.28</v>
      </c>
      <c r="AV54" s="22">
        <v>0.74896957799999997</v>
      </c>
      <c r="AW54" s="22">
        <v>11.128</v>
      </c>
      <c r="AX54" s="22"/>
      <c r="AY54" s="22">
        <v>1</v>
      </c>
      <c r="AZ54" s="24">
        <v>39255</v>
      </c>
      <c r="BA54" s="24">
        <f t="shared" si="5"/>
        <v>4.5938949816955619</v>
      </c>
      <c r="BB54" s="24">
        <v>17720</v>
      </c>
      <c r="BC54" s="24">
        <f t="shared" si="6"/>
        <v>4.248463717551032</v>
      </c>
      <c r="BD54" s="24">
        <v>21535</v>
      </c>
      <c r="BE54" s="23">
        <v>659</v>
      </c>
      <c r="BF54" s="23">
        <v>467</v>
      </c>
      <c r="BG54" s="23">
        <v>-0.58631512868801006</v>
      </c>
      <c r="BH54" s="23">
        <v>4.0517193677104407E-3</v>
      </c>
      <c r="BI54" s="23">
        <v>1.0102041467508184E-2</v>
      </c>
      <c r="BJ54" s="23">
        <v>2.3813670025824761E-2</v>
      </c>
      <c r="BK54" s="23">
        <v>-0.59892073490865838</v>
      </c>
      <c r="BL54" s="23">
        <v>1583</v>
      </c>
      <c r="BM54" s="22">
        <v>3093</v>
      </c>
      <c r="BN54" s="22"/>
      <c r="BO54" s="22">
        <v>3.4903799200031789</v>
      </c>
      <c r="BP54" s="22">
        <v>7.8792510508215508E-2</v>
      </c>
      <c r="BQ54" s="22"/>
      <c r="BR54" s="22"/>
      <c r="BS54" s="22">
        <v>-2118</v>
      </c>
      <c r="BT54" s="22">
        <v>3.3259259557714662</v>
      </c>
      <c r="BU54" s="22">
        <v>1.3022066192429002E-2</v>
      </c>
      <c r="BV54" s="23">
        <v>1860</v>
      </c>
      <c r="BW54" s="22">
        <v>3816</v>
      </c>
      <c r="BX54" s="22">
        <v>10</v>
      </c>
      <c r="BY54" s="22">
        <v>1</v>
      </c>
      <c r="BZ54" s="25">
        <v>-0.33288859239492996</v>
      </c>
      <c r="CA54" s="23">
        <v>2.9289569919413454</v>
      </c>
      <c r="CB54" s="23">
        <v>292.89569919413452</v>
      </c>
      <c r="CC54" s="23">
        <v>2.466712994658832</v>
      </c>
      <c r="CD54" s="23">
        <v>2.6436985700000002</v>
      </c>
      <c r="CE54" s="23">
        <v>3.9910305202485357</v>
      </c>
      <c r="CG54" s="23" t="e">
        <f t="shared" si="7"/>
        <v>#NUM!</v>
      </c>
      <c r="CH54" s="26">
        <v>28.62</v>
      </c>
      <c r="CI54" s="26">
        <v>23.8</v>
      </c>
      <c r="CJ54" s="26">
        <v>1.4566696294237576</v>
      </c>
      <c r="CK54" s="26">
        <v>1.3765769570565121</v>
      </c>
      <c r="CL54" s="26">
        <v>0.20252100840336135</v>
      </c>
      <c r="CM54" s="27">
        <v>28.164291187739472</v>
      </c>
      <c r="CN54" s="27">
        <v>5.6821432935815153E-2</v>
      </c>
      <c r="CQ54" s="27">
        <v>125.09884615384618</v>
      </c>
      <c r="CR54" s="27">
        <v>0.13726223776223803</v>
      </c>
      <c r="CS54" s="27">
        <v>0.92386973180076593</v>
      </c>
      <c r="CT54" s="27">
        <v>1.0645593900000001</v>
      </c>
      <c r="CU54" s="27">
        <v>-0.12842478132003218</v>
      </c>
      <c r="CX54" s="28">
        <v>0.76</v>
      </c>
      <c r="CY54" s="28">
        <v>0.82</v>
      </c>
      <c r="CZ54" s="29">
        <v>37.275402300000003</v>
      </c>
      <c r="DA54" s="27">
        <v>0.32652677224199295</v>
      </c>
      <c r="DB54" s="27">
        <v>2.5105365885464708</v>
      </c>
      <c r="DC54" s="27">
        <v>1.25643310503606</v>
      </c>
      <c r="DD54" s="27">
        <v>1</v>
      </c>
      <c r="DE54" s="27">
        <v>1.5</v>
      </c>
      <c r="DF54" s="27">
        <v>92.1</v>
      </c>
      <c r="DG54" s="28">
        <v>4.5228749432612609</v>
      </c>
      <c r="DH54" s="27">
        <v>0.91827000000000003</v>
      </c>
      <c r="DI54" s="27">
        <v>4.8</v>
      </c>
      <c r="DJ54" s="27">
        <v>3.4</v>
      </c>
      <c r="DK54" s="27">
        <v>2.2999999999999998</v>
      </c>
      <c r="DL54" s="27">
        <v>1.1731637610823707E-2</v>
      </c>
      <c r="DM54" s="27">
        <v>0.95289999999999997</v>
      </c>
      <c r="DN54" s="28">
        <v>1.1605000000000001</v>
      </c>
      <c r="DO54" s="28">
        <v>9.3264248704663183E-2</v>
      </c>
      <c r="DP54" s="28">
        <f>(DM54-1.1242)/1.1242</f>
        <v>-0.15237502223803603</v>
      </c>
      <c r="DQ54" s="27">
        <v>0.20879999999999999</v>
      </c>
      <c r="DR54" s="27">
        <v>6.0688564775993471E-2</v>
      </c>
      <c r="DS54" s="27">
        <v>3.9305854754660308E-2</v>
      </c>
      <c r="DT54" s="27">
        <v>3.268886E-2</v>
      </c>
      <c r="DU54" s="30">
        <v>5.7817160000000003</v>
      </c>
      <c r="DV54">
        <v>0.9</v>
      </c>
      <c r="DW54">
        <v>2.8</v>
      </c>
      <c r="DX54">
        <v>84</v>
      </c>
      <c r="DY54">
        <v>80.900000000000006</v>
      </c>
      <c r="DZ54">
        <v>2.2000000000000002</v>
      </c>
      <c r="EA54">
        <v>3</v>
      </c>
      <c r="EB54">
        <v>1.701892</v>
      </c>
    </row>
    <row r="55" spans="1:132" ht="18">
      <c r="A55" s="14" t="s">
        <v>146</v>
      </c>
      <c r="B55" s="14">
        <v>2</v>
      </c>
      <c r="C55" s="14" t="s">
        <v>147</v>
      </c>
      <c r="D55" s="14" t="s">
        <v>148</v>
      </c>
      <c r="E55" s="14" t="s">
        <v>143</v>
      </c>
      <c r="F55" s="15">
        <v>2936</v>
      </c>
      <c r="G55" s="15">
        <v>3.4677560512440331</v>
      </c>
      <c r="H55" s="15">
        <v>1011</v>
      </c>
      <c r="I55" s="15">
        <v>116</v>
      </c>
      <c r="J55" s="15">
        <v>1809</v>
      </c>
      <c r="K55" s="16">
        <v>1</v>
      </c>
      <c r="L55" s="17">
        <v>0.1050635176239041</v>
      </c>
      <c r="M55" s="18">
        <v>220</v>
      </c>
      <c r="N55" s="18">
        <v>153</v>
      </c>
      <c r="O55" s="18">
        <v>0.89682539682539686</v>
      </c>
      <c r="P55" s="18">
        <v>3</v>
      </c>
      <c r="Q55" s="18">
        <f t="shared" ref="Q55:Q66" si="23">(4+3+3)/3</f>
        <v>3.3333333333333335</v>
      </c>
      <c r="R55" s="18">
        <v>220</v>
      </c>
      <c r="S55" s="18">
        <v>5</v>
      </c>
      <c r="T55" s="19">
        <v>6954</v>
      </c>
      <c r="U55" s="19">
        <v>3.8422346863472394</v>
      </c>
      <c r="V55" s="20">
        <v>59402</v>
      </c>
      <c r="W55" s="20">
        <v>4.7738010674448539</v>
      </c>
      <c r="X55" s="20">
        <v>0.16120514427917404</v>
      </c>
      <c r="Y55" s="20">
        <v>5.2419840689999997E-2</v>
      </c>
      <c r="Z55" s="20">
        <f t="shared" si="3"/>
        <v>-1.2805043032589156</v>
      </c>
      <c r="AA55" s="20">
        <v>0.53887627699999996</v>
      </c>
      <c r="AB55" s="20">
        <v>1899</v>
      </c>
      <c r="AC55" s="20">
        <v>7831</v>
      </c>
      <c r="AE55" s="21"/>
      <c r="AF55" s="21"/>
      <c r="AG55" s="22">
        <v>0</v>
      </c>
      <c r="AH55" s="22">
        <v>0</v>
      </c>
      <c r="AI55" s="22">
        <v>2.9796921059999999</v>
      </c>
      <c r="AJ55" s="23">
        <f>298357+70130</f>
        <v>368487</v>
      </c>
      <c r="AK55" s="23">
        <f t="shared" si="10"/>
        <v>5.5664221708169039</v>
      </c>
      <c r="AL55" s="24">
        <v>0.17377614499999999</v>
      </c>
      <c r="AM55" s="22">
        <v>136095</v>
      </c>
      <c r="AN55" s="22">
        <f t="shared" si="19"/>
        <v>0.87841195871763922</v>
      </c>
      <c r="AO55" s="23">
        <v>3.2711097783442035E-2</v>
      </c>
      <c r="AP55" s="33">
        <v>2.4508009999999998E-3</v>
      </c>
      <c r="AQ55" s="23">
        <v>-0.61069195113492891</v>
      </c>
      <c r="AR55" s="23">
        <v>154933</v>
      </c>
      <c r="AS55" s="23">
        <v>5.1901439302931003</v>
      </c>
      <c r="AT55" s="23">
        <v>5.2112460571938861</v>
      </c>
      <c r="AU55" s="22">
        <v>1.232</v>
      </c>
      <c r="AV55" s="22">
        <v>0.77775958069999995</v>
      </c>
      <c r="AW55" s="22">
        <v>18.193999999999999</v>
      </c>
      <c r="AX55" s="22">
        <v>11.128</v>
      </c>
      <c r="AY55" s="22">
        <v>1</v>
      </c>
      <c r="AZ55" s="24">
        <v>40017</v>
      </c>
      <c r="BA55" s="24">
        <f t="shared" si="5"/>
        <v>4.6022445272716599</v>
      </c>
      <c r="BB55" s="24">
        <v>18466</v>
      </c>
      <c r="BC55" s="24">
        <f t="shared" si="6"/>
        <v>4.2663728312246034</v>
      </c>
      <c r="BD55" s="24">
        <v>21551</v>
      </c>
      <c r="BE55" s="23">
        <v>1309</v>
      </c>
      <c r="BF55" s="23">
        <f>STDEVP(BE54:BE55)</f>
        <v>325</v>
      </c>
      <c r="BG55" s="23">
        <v>0.98634294385432475</v>
      </c>
      <c r="BH55" s="23">
        <v>4.6842011093218824E-2</v>
      </c>
      <c r="BI55" s="23">
        <v>4.0517193677104407E-3</v>
      </c>
      <c r="BJ55" s="23">
        <v>2.3813670025824761E-2</v>
      </c>
      <c r="BK55" s="23">
        <v>10.561020604368379</v>
      </c>
      <c r="BL55" s="23">
        <v>659</v>
      </c>
      <c r="BM55" s="22">
        <v>3006</v>
      </c>
      <c r="BN55" s="22">
        <f>STDEVP(BM54:BM55)</f>
        <v>43.5</v>
      </c>
      <c r="BO55" s="22">
        <v>3.4779889762508893</v>
      </c>
      <c r="BP55" s="22">
        <v>7.5118074818202263E-2</v>
      </c>
      <c r="BQ55" s="22">
        <v>1.8372178450066223E-3</v>
      </c>
      <c r="BR55" s="22"/>
      <c r="BS55" s="22">
        <v>-2133</v>
      </c>
      <c r="BT55" s="22">
        <v>3.3289908554494287</v>
      </c>
      <c r="BU55" s="22">
        <v>7.6328502415458938E-2</v>
      </c>
      <c r="BV55" s="23">
        <v>2437</v>
      </c>
      <c r="BW55" s="23">
        <v>4749</v>
      </c>
      <c r="BX55" s="22">
        <v>16.350000000000001</v>
      </c>
      <c r="BY55" s="22">
        <v>1.2135177569963049</v>
      </c>
      <c r="BZ55" s="25">
        <v>0.63500000000000012</v>
      </c>
      <c r="CA55" s="23">
        <v>3.9910305202485357</v>
      </c>
      <c r="CB55" s="23">
        <v>399.10305202485358</v>
      </c>
      <c r="CC55" s="23">
        <v>2.6010850489378305</v>
      </c>
      <c r="CD55" s="23">
        <v>2.9289569919413454</v>
      </c>
      <c r="CE55" s="23">
        <v>2.7759121499224668</v>
      </c>
      <c r="CF55" s="23">
        <v>2.058343057176196</v>
      </c>
      <c r="CG55" s="23">
        <f t="shared" si="7"/>
        <v>0.72190131796895685</v>
      </c>
      <c r="CH55" s="26">
        <v>18.309999999999999</v>
      </c>
      <c r="CI55" s="26">
        <v>28.62</v>
      </c>
      <c r="CJ55" s="26">
        <v>1.2626883443016965</v>
      </c>
      <c r="CK55" s="26">
        <v>1.4566696294237576</v>
      </c>
      <c r="CL55" s="26">
        <v>-0.36023759608665273</v>
      </c>
      <c r="CM55" s="27">
        <v>22.615402298850572</v>
      </c>
      <c r="CN55" s="27">
        <v>-0.19701858825065877</v>
      </c>
      <c r="CQ55" s="27">
        <v>115.89653846153851</v>
      </c>
      <c r="CR55" s="27">
        <v>-7.3560292322686169E-2</v>
      </c>
      <c r="CS55" s="27">
        <v>0.92888888888888932</v>
      </c>
      <c r="CT55" s="27">
        <v>0.92386973180076604</v>
      </c>
      <c r="CU55" s="27">
        <v>5.4327541160378483E-3</v>
      </c>
      <c r="CX55" s="28">
        <v>0.66</v>
      </c>
      <c r="CY55" s="28">
        <v>0.76</v>
      </c>
      <c r="CZ55" s="29">
        <v>31.998965519999999</v>
      </c>
      <c r="DA55" s="27">
        <v>-0.14155277889515908</v>
      </c>
      <c r="DB55" s="27">
        <v>2.6347679627304119</v>
      </c>
      <c r="DC55" s="27">
        <v>2.5105365885464708</v>
      </c>
      <c r="DD55" s="27">
        <v>1</v>
      </c>
      <c r="DE55" s="27">
        <v>1.7</v>
      </c>
      <c r="DF55" s="27">
        <v>93.2</v>
      </c>
      <c r="DG55" s="28">
        <v>4.5347477216915459</v>
      </c>
      <c r="DH55" s="27">
        <v>0.92432999999999998</v>
      </c>
      <c r="DI55" s="27">
        <v>4.9000000000000004</v>
      </c>
      <c r="DJ55" s="27">
        <v>2.8</v>
      </c>
      <c r="DK55" s="27">
        <v>2</v>
      </c>
      <c r="DL55" s="27">
        <v>1.6216043547496031E-2</v>
      </c>
      <c r="DM55" s="27">
        <v>0.79400000000000004</v>
      </c>
      <c r="DN55" s="28">
        <v>1.1231</v>
      </c>
      <c r="DO55" s="28">
        <v>-3.2227488151658851E-2</v>
      </c>
      <c r="DP55" s="28">
        <f>(DM55-DM54)/DM54</f>
        <v>-0.16675411900514214</v>
      </c>
      <c r="DQ55" s="27">
        <v>0.17130000000000001</v>
      </c>
      <c r="DR55" s="27">
        <v>3.9305854754660308E-2</v>
      </c>
      <c r="DS55" s="27">
        <v>2.6867542601332471E-2</v>
      </c>
      <c r="DT55" s="27">
        <v>6.0688564775993471E-2</v>
      </c>
      <c r="DU55" s="30">
        <v>5.9865389999999996</v>
      </c>
      <c r="DV55">
        <v>0.9</v>
      </c>
      <c r="DW55">
        <v>2.8</v>
      </c>
      <c r="DX55">
        <v>85.7</v>
      </c>
      <c r="DY55">
        <v>82.9</v>
      </c>
      <c r="DZ55">
        <v>2.4</v>
      </c>
      <c r="EA55">
        <v>2</v>
      </c>
      <c r="EB55">
        <v>1.4781599999999999</v>
      </c>
    </row>
    <row r="56" spans="1:132" ht="18">
      <c r="A56" s="14" t="s">
        <v>146</v>
      </c>
      <c r="B56" s="14">
        <v>3</v>
      </c>
      <c r="C56" s="14" t="s">
        <v>147</v>
      </c>
      <c r="D56" s="14" t="s">
        <v>148</v>
      </c>
      <c r="E56" s="14" t="s">
        <v>143</v>
      </c>
      <c r="F56" s="15">
        <v>3920</v>
      </c>
      <c r="G56" s="15">
        <v>3.5932860670204572</v>
      </c>
      <c r="H56" s="15">
        <v>788</v>
      </c>
      <c r="I56" s="15">
        <v>300</v>
      </c>
      <c r="J56" s="15">
        <v>2832</v>
      </c>
      <c r="K56" s="16">
        <v>1</v>
      </c>
      <c r="L56" s="17">
        <v>0.13234301147873059</v>
      </c>
      <c r="M56" s="18">
        <v>220</v>
      </c>
      <c r="N56" s="18">
        <v>153</v>
      </c>
      <c r="O56" s="18">
        <v>0.89682539682539686</v>
      </c>
      <c r="P56" s="18">
        <v>3</v>
      </c>
      <c r="Q56" s="18">
        <f t="shared" si="23"/>
        <v>3.3333333333333335</v>
      </c>
      <c r="R56" s="18">
        <v>220</v>
      </c>
      <c r="S56" s="18">
        <v>5</v>
      </c>
      <c r="T56" s="19">
        <v>9595</v>
      </c>
      <c r="U56" s="19">
        <v>3.9820449790714902</v>
      </c>
      <c r="V56" s="20">
        <v>69879</v>
      </c>
      <c r="W56" s="20">
        <v>4.8443466814054927</v>
      </c>
      <c r="X56" s="20">
        <v>0.18611520237787679</v>
      </c>
      <c r="Y56" s="20">
        <v>5.4330859600000003E-2</v>
      </c>
      <c r="Z56" s="20">
        <f t="shared" si="3"/>
        <v>-1.2649534236873656</v>
      </c>
      <c r="AA56" s="20">
        <v>0.32063026750000001</v>
      </c>
      <c r="AB56" s="20">
        <v>875</v>
      </c>
      <c r="AC56" s="20">
        <v>7936</v>
      </c>
      <c r="AE56" s="21"/>
      <c r="AF56" s="21"/>
      <c r="AG56" s="22">
        <v>0</v>
      </c>
      <c r="AH56" s="22">
        <v>0</v>
      </c>
      <c r="AI56" s="22">
        <v>2.6105029790000001</v>
      </c>
      <c r="AJ56" s="23">
        <f>307843+67618</f>
        <v>375461</v>
      </c>
      <c r="AK56" s="23">
        <f t="shared" si="10"/>
        <v>5.574564832513472</v>
      </c>
      <c r="AL56" s="24">
        <v>0.22227112700000001</v>
      </c>
      <c r="AM56" s="22">
        <v>132090</v>
      </c>
      <c r="AN56" s="22">
        <f t="shared" si="19"/>
        <v>0.8613235783172597</v>
      </c>
      <c r="AO56" s="23">
        <v>3.6786508524833207E-2</v>
      </c>
      <c r="AP56" s="33">
        <v>6.11234E-3</v>
      </c>
      <c r="AQ56" s="23">
        <v>-0.21379249605262821</v>
      </c>
      <c r="AR56" s="23">
        <v>153357</v>
      </c>
      <c r="AS56" s="23">
        <v>5.1857036041984541</v>
      </c>
      <c r="AT56" s="23">
        <v>5.1901439302931003</v>
      </c>
      <c r="AU56" s="22">
        <v>1.181</v>
      </c>
      <c r="AV56" s="22">
        <v>0.73285298600000004</v>
      </c>
      <c r="AW56" s="22">
        <v>18.84</v>
      </c>
      <c r="AX56" s="22">
        <v>18.193999999999999</v>
      </c>
      <c r="AY56" s="22">
        <v>1</v>
      </c>
      <c r="AZ56" s="24">
        <v>43168</v>
      </c>
      <c r="BA56" s="24">
        <f t="shared" si="5"/>
        <v>4.6351619279918106</v>
      </c>
      <c r="BB56" s="24">
        <v>20546</v>
      </c>
      <c r="BC56" s="24">
        <f t="shared" si="6"/>
        <v>4.3127272837781234</v>
      </c>
      <c r="BD56" s="24">
        <v>22622</v>
      </c>
      <c r="BE56" s="23">
        <v>1588</v>
      </c>
      <c r="BF56" s="23">
        <f t="shared" ref="BF56:BF66" si="24">STDEVP(BE55:BE56)</f>
        <v>139.5</v>
      </c>
      <c r="BG56" s="23">
        <v>0.2131398013750955</v>
      </c>
      <c r="BH56" s="23">
        <v>5.3612424037812287E-2</v>
      </c>
      <c r="BI56" s="23">
        <v>4.6842011093218824E-2</v>
      </c>
      <c r="BJ56" s="23">
        <v>2.3813670025824761E-2</v>
      </c>
      <c r="BK56" s="23">
        <v>0.14453719613190549</v>
      </c>
      <c r="BL56" s="23">
        <v>1309</v>
      </c>
      <c r="BM56" s="22">
        <v>2336</v>
      </c>
      <c r="BN56" s="22">
        <f t="shared" ref="BN56:BN65" si="25">STDEVP(BM55:BM56)</f>
        <v>335</v>
      </c>
      <c r="BO56" s="22">
        <v>3.3684728384403617</v>
      </c>
      <c r="BP56" s="22">
        <v>5.4114158636026685E-2</v>
      </c>
      <c r="BQ56" s="22">
        <v>1.0501958091087747E-2</v>
      </c>
      <c r="BR56" s="22">
        <v>1.8372178450066223E-3</v>
      </c>
      <c r="BS56" s="22">
        <v>-385</v>
      </c>
      <c r="BT56" s="22">
        <v>2.5854607295085006</v>
      </c>
      <c r="BU56" s="22">
        <v>1.299797434166104E-2</v>
      </c>
      <c r="BV56" s="23">
        <v>878</v>
      </c>
      <c r="BW56" s="22">
        <v>5289</v>
      </c>
      <c r="BX56" s="22">
        <v>16.899999999999999</v>
      </c>
      <c r="BY56" s="22">
        <v>1.2278867046136734</v>
      </c>
      <c r="BZ56" s="25">
        <v>3.3639143730886674E-2</v>
      </c>
      <c r="CA56" s="23">
        <v>2.7759121499224668</v>
      </c>
      <c r="CB56" s="23">
        <v>277.59121499224671</v>
      </c>
      <c r="CC56" s="23">
        <v>2.4434057177599002</v>
      </c>
      <c r="CD56" s="23">
        <v>3.9910305202485357</v>
      </c>
      <c r="CE56" s="23">
        <v>2.5345829915053892</v>
      </c>
      <c r="CF56" s="23">
        <v>1.3277479892761392</v>
      </c>
      <c r="CG56" s="23">
        <f t="shared" si="7"/>
        <v>0.28348426593484466</v>
      </c>
      <c r="CH56" s="26">
        <v>13.29</v>
      </c>
      <c r="CI56" s="26">
        <v>18.309999999999999</v>
      </c>
      <c r="CJ56" s="26">
        <v>1.1235249809427319</v>
      </c>
      <c r="CK56" s="26">
        <v>1.2626883443016965</v>
      </c>
      <c r="CL56" s="26">
        <v>-0.27416712179137082</v>
      </c>
      <c r="CM56" s="27">
        <v>16.030268199233717</v>
      </c>
      <c r="CN56" s="27">
        <v>-0.29117917128326054</v>
      </c>
      <c r="CQ56" s="27">
        <v>102.09153846153851</v>
      </c>
      <c r="CR56" s="27">
        <v>-0.11911486040268011</v>
      </c>
      <c r="CS56" s="27">
        <v>0.9859003831417622</v>
      </c>
      <c r="CT56" s="27">
        <v>0.92888888888888899</v>
      </c>
      <c r="CU56" s="27">
        <v>6.1376010559312889E-2</v>
      </c>
      <c r="CV56" s="27">
        <v>1.140877862595419</v>
      </c>
      <c r="CW56" s="27">
        <v>2.0572391532349976</v>
      </c>
      <c r="CX56" s="28">
        <v>1.07</v>
      </c>
      <c r="CY56" s="28">
        <v>0.66</v>
      </c>
      <c r="CZ56" s="29">
        <v>18.886297710000001</v>
      </c>
      <c r="DA56" s="27">
        <v>-0.40978411635852152</v>
      </c>
      <c r="DB56" s="27">
        <v>266.87708664986224</v>
      </c>
      <c r="DC56" s="27">
        <v>2.6347679627304119</v>
      </c>
      <c r="DD56" s="27">
        <v>1</v>
      </c>
      <c r="DE56" s="27">
        <v>1.9</v>
      </c>
      <c r="DF56" s="27">
        <v>94.2</v>
      </c>
      <c r="DG56" s="28">
        <v>4.5454201815823172</v>
      </c>
      <c r="DH56" s="27">
        <v>0.93801999999999996</v>
      </c>
      <c r="DI56" s="27">
        <v>4.9000000000000004</v>
      </c>
      <c r="DJ56" s="27">
        <v>2.9</v>
      </c>
      <c r="DK56" s="27">
        <v>2.1</v>
      </c>
      <c r="DL56" s="27">
        <v>1.3035848693861207E-2</v>
      </c>
      <c r="DM56" s="27">
        <v>0.73780000000000001</v>
      </c>
      <c r="DN56" s="28">
        <v>0.95269999999999999</v>
      </c>
      <c r="DO56" s="28">
        <v>-0.15172290980322323</v>
      </c>
      <c r="DP56" s="28">
        <f t="shared" ref="DP56:DP66" si="26">(DM56-DM55)/DM55</f>
        <v>-7.0780856423173832E-2</v>
      </c>
      <c r="DQ56" s="27">
        <v>0.11370000000000002</v>
      </c>
      <c r="DR56" s="27">
        <v>2.6867542601332471E-2</v>
      </c>
      <c r="DS56" s="27">
        <v>3.2347817198611614E-2</v>
      </c>
      <c r="DT56" s="27">
        <v>3.9305854754660308E-2</v>
      </c>
      <c r="DU56" s="30">
        <v>5.5230399999999999</v>
      </c>
      <c r="DV56">
        <v>0.3</v>
      </c>
      <c r="DW56">
        <v>2.6</v>
      </c>
      <c r="DX56">
        <v>88</v>
      </c>
      <c r="DY56">
        <v>85.1</v>
      </c>
      <c r="DZ56">
        <v>2</v>
      </c>
      <c r="EA56">
        <v>1.5</v>
      </c>
      <c r="EB56">
        <v>1.913224</v>
      </c>
    </row>
    <row r="57" spans="1:132" ht="18">
      <c r="A57" s="14" t="s">
        <v>146</v>
      </c>
      <c r="B57" s="14">
        <v>4</v>
      </c>
      <c r="C57" s="14" t="s">
        <v>147</v>
      </c>
      <c r="D57" s="14" t="s">
        <v>148</v>
      </c>
      <c r="E57" s="14" t="s">
        <v>143</v>
      </c>
      <c r="F57" s="15">
        <v>6545</v>
      </c>
      <c r="G57" s="15">
        <v>3.8159096508867747</v>
      </c>
      <c r="H57" s="15">
        <v>1149</v>
      </c>
      <c r="I57" s="15">
        <v>443</v>
      </c>
      <c r="J57" s="15">
        <v>4953</v>
      </c>
      <c r="K57" s="16">
        <v>1</v>
      </c>
      <c r="L57" s="17">
        <v>0.1758983041737214</v>
      </c>
      <c r="M57" s="18">
        <v>220</v>
      </c>
      <c r="N57" s="18">
        <v>153</v>
      </c>
      <c r="O57" s="18">
        <v>0.89682539682539686</v>
      </c>
      <c r="P57" s="18">
        <v>3</v>
      </c>
      <c r="Q57" s="18">
        <f t="shared" si="23"/>
        <v>3.3333333333333335</v>
      </c>
      <c r="R57" s="18">
        <v>220</v>
      </c>
      <c r="S57" s="18">
        <v>5</v>
      </c>
      <c r="T57" s="19">
        <v>11061</v>
      </c>
      <c r="U57" s="19">
        <v>4.0437943923257791</v>
      </c>
      <c r="V57" s="20">
        <v>124330</v>
      </c>
      <c r="W57" s="20">
        <v>5.0945759336492493</v>
      </c>
      <c r="X57" s="20">
        <v>0.27318370082286897</v>
      </c>
      <c r="Y57" s="20">
        <v>9.0070343260000005E-2</v>
      </c>
      <c r="Z57" s="20">
        <f t="shared" si="3"/>
        <v>-1.0454181821475517</v>
      </c>
      <c r="AA57" s="20">
        <v>0.2074997381</v>
      </c>
      <c r="AB57" s="20">
        <v>1981</v>
      </c>
      <c r="AC57" s="20">
        <v>15122</v>
      </c>
      <c r="AE57" s="21"/>
      <c r="AF57" s="21"/>
      <c r="AG57" s="22">
        <v>0</v>
      </c>
      <c r="AH57" s="22">
        <v>0</v>
      </c>
      <c r="AI57" s="22">
        <v>1.9673781720000001</v>
      </c>
      <c r="AJ57" s="23">
        <v>455115</v>
      </c>
      <c r="AK57" s="23">
        <f t="shared" si="10"/>
        <v>5.6581211495250132</v>
      </c>
      <c r="AL57" s="24">
        <v>0.248037853</v>
      </c>
      <c r="AM57" s="22">
        <f>18745+141480</f>
        <v>160225</v>
      </c>
      <c r="AN57" s="22">
        <f t="shared" si="19"/>
        <v>0.92808734939759041</v>
      </c>
      <c r="AO57" s="23">
        <v>5.011885006951608E-2</v>
      </c>
      <c r="AP57" s="33">
        <v>1.818225E-2</v>
      </c>
      <c r="AQ57" s="23">
        <v>0.25964762487721865</v>
      </c>
      <c r="AR57" s="23">
        <v>172640</v>
      </c>
      <c r="AS57" s="23">
        <v>5.2371414273388357</v>
      </c>
      <c r="AT57" s="23">
        <v>5.1857036041984541</v>
      </c>
      <c r="AU57" s="22">
        <v>0.874</v>
      </c>
      <c r="AV57" s="22">
        <v>0.47523157469999999</v>
      </c>
      <c r="AW57" s="22">
        <v>24.425000000000001</v>
      </c>
      <c r="AX57" s="22">
        <v>18.84</v>
      </c>
      <c r="AY57" s="22">
        <v>1</v>
      </c>
      <c r="AZ57" s="24">
        <v>44594</v>
      </c>
      <c r="BA57" s="24">
        <f t="shared" si="5"/>
        <v>4.6492764295152149</v>
      </c>
      <c r="BB57" s="24">
        <v>23768</v>
      </c>
      <c r="BC57" s="24">
        <f t="shared" si="6"/>
        <v>4.3759926387956076</v>
      </c>
      <c r="BD57" s="24">
        <v>20826</v>
      </c>
      <c r="BE57" s="23">
        <v>2235</v>
      </c>
      <c r="BF57" s="23">
        <f t="shared" si="24"/>
        <v>323.5</v>
      </c>
      <c r="BG57" s="23">
        <v>0.40743073047858941</v>
      </c>
      <c r="BH57" s="23">
        <v>6.0066113037168425E-2</v>
      </c>
      <c r="BI57" s="23">
        <v>5.3612424037812287E-2</v>
      </c>
      <c r="BJ57" s="23">
        <v>2.3813670025824761E-2</v>
      </c>
      <c r="BK57" s="23">
        <v>0.12037674317438843</v>
      </c>
      <c r="BL57" s="23">
        <v>1588</v>
      </c>
      <c r="BM57" s="22">
        <v>1715</v>
      </c>
      <c r="BN57" s="22">
        <f t="shared" si="25"/>
        <v>310.5</v>
      </c>
      <c r="BO57" s="22">
        <v>3.2342641243787895</v>
      </c>
      <c r="BP57" s="22">
        <v>3.845808853208952E-2</v>
      </c>
      <c r="BQ57" s="22">
        <v>7.8280350519685672E-3</v>
      </c>
      <c r="BR57" s="22">
        <v>1.0501958091087747E-2</v>
      </c>
      <c r="BS57" s="22">
        <v>-3860</v>
      </c>
      <c r="BT57" s="22">
        <v>3.5865873046717551</v>
      </c>
      <c r="BU57" s="22">
        <v>0.10373834287403585</v>
      </c>
      <c r="BV57" s="23">
        <v>5067</v>
      </c>
      <c r="BW57" s="22">
        <v>5900</v>
      </c>
      <c r="BX57" s="22">
        <v>20.48</v>
      </c>
      <c r="BY57" s="22">
        <v>1.3113299523037931</v>
      </c>
      <c r="BZ57" s="25">
        <v>0.21183431952662735</v>
      </c>
      <c r="CA57" s="23">
        <v>2.5345829915053892</v>
      </c>
      <c r="CB57" s="23">
        <v>253.45829915053892</v>
      </c>
      <c r="CC57" s="23">
        <v>2.4039065161799544</v>
      </c>
      <c r="CD57" s="23">
        <v>2.7759121499224668</v>
      </c>
      <c r="CE57" s="23">
        <v>4.6043257728450531</v>
      </c>
      <c r="CF57" s="23">
        <v>1.2882281553398058</v>
      </c>
      <c r="CG57" s="23">
        <f t="shared" si="7"/>
        <v>0.2532677512338391</v>
      </c>
      <c r="CH57" s="26">
        <v>12.07</v>
      </c>
      <c r="CI57" s="26">
        <v>13.29</v>
      </c>
      <c r="CJ57" s="26">
        <v>1.0817072700973491</v>
      </c>
      <c r="CK57" s="26">
        <v>1.1235249809427319</v>
      </c>
      <c r="CL57" s="26">
        <v>-9.1798344620014974E-2</v>
      </c>
      <c r="CM57" s="27">
        <v>13.248115384615385</v>
      </c>
      <c r="CN57" s="27">
        <v>-0.17355622376619531</v>
      </c>
      <c r="CQ57" s="27">
        <v>81.715444015443992</v>
      </c>
      <c r="CR57" s="27">
        <v>-0.1995865157206041</v>
      </c>
      <c r="CS57" s="27">
        <v>0.91873076923076902</v>
      </c>
      <c r="CT57" s="27">
        <v>0.9859003831417622</v>
      </c>
      <c r="CU57" s="27">
        <v>-6.8130223965370842E-2</v>
      </c>
      <c r="CV57" s="27">
        <v>1.0315769230769232</v>
      </c>
      <c r="CW57" s="27">
        <v>2.0135016181765906</v>
      </c>
      <c r="CX57" s="28">
        <v>0.94</v>
      </c>
      <c r="CY57" s="28">
        <v>1.07</v>
      </c>
      <c r="CZ57" s="29">
        <v>14.03142308</v>
      </c>
      <c r="DA57" s="27">
        <v>-0.25705803776615366</v>
      </c>
      <c r="DB57" s="27">
        <v>1.72976924253802</v>
      </c>
      <c r="DC57" s="27">
        <v>266.87708664986224</v>
      </c>
      <c r="DD57" s="27">
        <v>1</v>
      </c>
      <c r="DE57" s="27">
        <v>1.2</v>
      </c>
      <c r="DF57" s="27">
        <v>94.8</v>
      </c>
      <c r="DG57" s="28">
        <v>4.5517694092609764</v>
      </c>
      <c r="DH57" s="27">
        <v>0.94384000000000001</v>
      </c>
      <c r="DI57" s="27">
        <v>4.5</v>
      </c>
      <c r="DJ57" s="27">
        <v>2.7</v>
      </c>
      <c r="DK57" s="27">
        <v>1.5</v>
      </c>
      <c r="DL57" s="27">
        <v>8.4498661866614921E-3</v>
      </c>
      <c r="DM57" s="27">
        <v>0.84399999999999997</v>
      </c>
      <c r="DN57" s="28">
        <v>0.79300000000000004</v>
      </c>
      <c r="DO57" s="28">
        <v>-0.167628844337147</v>
      </c>
      <c r="DP57" s="28">
        <f t="shared" si="26"/>
        <v>0.14394144754676058</v>
      </c>
      <c r="DQ57" s="27">
        <v>0.11509999999999998</v>
      </c>
      <c r="DR57" s="27">
        <v>3.2347817198611614E-2</v>
      </c>
      <c r="DS57" s="27">
        <v>2.4490842135800685E-2</v>
      </c>
      <c r="DT57" s="27">
        <v>2.6867542601332471E-2</v>
      </c>
      <c r="DU57" s="30">
        <v>5.0767810000000004</v>
      </c>
      <c r="DV57">
        <v>-0.3</v>
      </c>
      <c r="DW57">
        <v>0.7</v>
      </c>
      <c r="DX57">
        <v>90.9</v>
      </c>
      <c r="DY57">
        <v>87.4</v>
      </c>
      <c r="DZ57">
        <v>1.6</v>
      </c>
      <c r="EA57">
        <v>1</v>
      </c>
      <c r="EB57">
        <v>2.1595819999999999</v>
      </c>
    </row>
    <row r="58" spans="1:132" ht="18">
      <c r="A58" s="14" t="s">
        <v>146</v>
      </c>
      <c r="B58" s="14">
        <v>5</v>
      </c>
      <c r="C58" s="14" t="s">
        <v>147</v>
      </c>
      <c r="D58" s="14" t="s">
        <v>148</v>
      </c>
      <c r="E58" s="14" t="s">
        <v>143</v>
      </c>
      <c r="F58" s="15">
        <v>5989</v>
      </c>
      <c r="G58" s="15">
        <v>3.7773543130842087</v>
      </c>
      <c r="H58" s="15">
        <v>1603</v>
      </c>
      <c r="I58" s="15">
        <v>162</v>
      </c>
      <c r="J58" s="15">
        <v>4224</v>
      </c>
      <c r="K58" s="16">
        <v>1</v>
      </c>
      <c r="L58" s="17">
        <v>0.16663420605993157</v>
      </c>
      <c r="M58" s="18">
        <v>220</v>
      </c>
      <c r="N58" s="18">
        <v>153</v>
      </c>
      <c r="O58" s="18">
        <v>0.89682539682539686</v>
      </c>
      <c r="P58" s="18">
        <v>3</v>
      </c>
      <c r="Q58" s="18">
        <f t="shared" si="23"/>
        <v>3.3333333333333335</v>
      </c>
      <c r="R58" s="18">
        <v>220</v>
      </c>
      <c r="S58" s="18">
        <v>5</v>
      </c>
      <c r="T58" s="19">
        <v>17644</v>
      </c>
      <c r="U58" s="19">
        <v>4.24659704910637</v>
      </c>
      <c r="V58" s="20">
        <v>137251</v>
      </c>
      <c r="W58" s="20">
        <v>5.1375155173691223</v>
      </c>
      <c r="X58" s="20">
        <v>0.2962145246573864</v>
      </c>
      <c r="Y58" s="20">
        <v>7.1942412240000003E-2</v>
      </c>
      <c r="Z58" s="20">
        <f t="shared" si="3"/>
        <v>-1.1430150043134855</v>
      </c>
      <c r="AA58" s="20">
        <v>0.20752152239999999</v>
      </c>
      <c r="AB58" s="20">
        <v>916</v>
      </c>
      <c r="AC58" s="20">
        <v>15311</v>
      </c>
      <c r="AE58" s="21"/>
      <c r="AF58" s="21"/>
      <c r="AG58" s="22">
        <v>0</v>
      </c>
      <c r="AH58" s="22">
        <v>0</v>
      </c>
      <c r="AI58" s="22">
        <v>1.9682482800000001</v>
      </c>
      <c r="AJ58" s="23">
        <v>463350</v>
      </c>
      <c r="AK58" s="23">
        <f t="shared" si="10"/>
        <v>5.6659091673571318</v>
      </c>
      <c r="AL58" s="24">
        <v>0.29141960500000003</v>
      </c>
      <c r="AM58" s="22">
        <f>21120+182626</f>
        <v>203746</v>
      </c>
      <c r="AN58" s="22">
        <f t="shared" si="19"/>
        <v>0.93591121645582409</v>
      </c>
      <c r="AO58" s="23">
        <v>3.1645883227351554E-2</v>
      </c>
      <c r="AP58" s="33">
        <v>1.9736066E-2</v>
      </c>
      <c r="AQ58" s="23">
        <v>0.29526058882196532</v>
      </c>
      <c r="AR58" s="23">
        <v>217698</v>
      </c>
      <c r="AS58" s="23">
        <v>5.3378544391791118</v>
      </c>
      <c r="AT58" s="23">
        <v>5.2371414273388357</v>
      </c>
      <c r="AU58" s="22">
        <v>0.753</v>
      </c>
      <c r="AV58" s="22">
        <v>0.38990825690000003</v>
      </c>
      <c r="AW58" s="22">
        <v>27.460999999999999</v>
      </c>
      <c r="AX58" s="22">
        <v>24.425000000000001</v>
      </c>
      <c r="AY58" s="22">
        <v>1</v>
      </c>
      <c r="AZ58" s="24">
        <v>60545</v>
      </c>
      <c r="BA58" s="24">
        <f t="shared" si="5"/>
        <v>4.7820782835307538</v>
      </c>
      <c r="BB58" s="24">
        <v>34349</v>
      </c>
      <c r="BC58" s="24">
        <f t="shared" si="6"/>
        <v>4.535914097995172</v>
      </c>
      <c r="BD58" s="24">
        <v>26196</v>
      </c>
      <c r="BE58" s="23">
        <v>1916</v>
      </c>
      <c r="BF58" s="23">
        <f t="shared" si="24"/>
        <v>159.5</v>
      </c>
      <c r="BG58" s="23">
        <v>-0.14272930648769575</v>
      </c>
      <c r="BH58" s="23">
        <v>5.3309590718121365E-2</v>
      </c>
      <c r="BI58" s="23">
        <v>6.0066113037168425E-2</v>
      </c>
      <c r="BJ58" s="23">
        <v>2.3813670025824761E-2</v>
      </c>
      <c r="BK58" s="23">
        <v>-0.11248476016528952</v>
      </c>
      <c r="BL58" s="23">
        <v>2448</v>
      </c>
      <c r="BM58" s="22">
        <v>2178</v>
      </c>
      <c r="BN58" s="22">
        <f t="shared" si="25"/>
        <v>231.5</v>
      </c>
      <c r="BO58" s="22">
        <v>3.3380578754197563</v>
      </c>
      <c r="BP58" s="22">
        <v>3.5973243042365183E-2</v>
      </c>
      <c r="BQ58" s="22">
        <v>1.2424227448621684E-3</v>
      </c>
      <c r="BR58" s="22">
        <v>7.8280350519685672E-3</v>
      </c>
      <c r="BS58" s="22">
        <v>-871</v>
      </c>
      <c r="BT58" s="22">
        <v>2.9400181550076634</v>
      </c>
      <c r="BU58" s="22">
        <v>2.4234161542528034E-2</v>
      </c>
      <c r="BV58" s="23">
        <v>1747</v>
      </c>
      <c r="BW58" s="22">
        <v>5440</v>
      </c>
      <c r="BX58" s="22">
        <v>22.84</v>
      </c>
      <c r="BY58" s="22">
        <v>1.3586960995738104</v>
      </c>
      <c r="BZ58" s="25">
        <v>0.11523437499999997</v>
      </c>
      <c r="CA58" s="23">
        <v>4.6043257728450531</v>
      </c>
      <c r="CB58" s="23">
        <v>460.43257728450533</v>
      </c>
      <c r="CC58" s="23">
        <v>2.6631660439637668</v>
      </c>
      <c r="CD58" s="23">
        <v>2.5345829915053892</v>
      </c>
      <c r="CE58" s="23">
        <v>3.947932438714675</v>
      </c>
      <c r="CF58" s="23">
        <v>1.3136511375947995</v>
      </c>
      <c r="CG58" s="23">
        <f t="shared" si="7"/>
        <v>0.27281038830878601</v>
      </c>
      <c r="CH58" s="26">
        <v>11.56</v>
      </c>
      <c r="CI58" s="26">
        <v>12.07</v>
      </c>
      <c r="CJ58" s="26">
        <v>1.0629578340845103</v>
      </c>
      <c r="CK58" s="26">
        <v>1.0817072700973491</v>
      </c>
      <c r="CL58" s="26">
        <v>-4.2253521126760542E-2</v>
      </c>
      <c r="CM58" s="27">
        <v>13.296884615384608</v>
      </c>
      <c r="CN58" s="27">
        <v>3.681220260646025E-3</v>
      </c>
      <c r="CQ58" s="27">
        <v>67.989575289575299</v>
      </c>
      <c r="CR58" s="27">
        <v>-0.167971536975</v>
      </c>
      <c r="CS58" s="27">
        <v>0.84238461538461584</v>
      </c>
      <c r="CT58" s="27">
        <v>0.91873076923076902</v>
      </c>
      <c r="CU58" s="27">
        <v>-8.3099593921379125E-2</v>
      </c>
      <c r="CV58" s="27">
        <v>0.92230769230769172</v>
      </c>
      <c r="CW58" s="27">
        <v>1.9648758307920116</v>
      </c>
      <c r="CX58" s="28">
        <v>0.56000000000000005</v>
      </c>
      <c r="CY58" s="28">
        <v>0.94</v>
      </c>
      <c r="CZ58" s="29">
        <v>16.52657692</v>
      </c>
      <c r="DA58" s="27">
        <v>0.17782614249273998</v>
      </c>
      <c r="DB58" s="27">
        <v>1.322681365714484</v>
      </c>
      <c r="DC58" s="27">
        <v>1.72976924253802</v>
      </c>
      <c r="DD58" s="27">
        <v>1</v>
      </c>
      <c r="DE58" s="27">
        <v>0.7</v>
      </c>
      <c r="DF58" s="27">
        <v>95.1</v>
      </c>
      <c r="DG58" s="28">
        <v>4.5549289695513444</v>
      </c>
      <c r="DH58" s="27">
        <v>0.95021</v>
      </c>
      <c r="DI58" s="27">
        <v>4.5</v>
      </c>
      <c r="DJ58" s="27">
        <v>3.5</v>
      </c>
      <c r="DK58" s="27">
        <v>1.8</v>
      </c>
      <c r="DL58" s="27">
        <v>7.6672365931182819E-3</v>
      </c>
      <c r="DM58" s="27">
        <v>0.75770000000000004</v>
      </c>
      <c r="DN58" s="28">
        <v>0.74250000000000005</v>
      </c>
      <c r="DO58" s="28">
        <v>-6.3682219419924316E-2</v>
      </c>
      <c r="DP58" s="28">
        <f t="shared" si="26"/>
        <v>-0.10225118483412314</v>
      </c>
      <c r="DQ58" s="27">
        <v>9.7799999999999998E-2</v>
      </c>
      <c r="DR58" s="27">
        <v>2.4490842135800685E-2</v>
      </c>
      <c r="DS58" s="27">
        <v>2.77430650961079E-2</v>
      </c>
      <c r="DT58" s="27">
        <v>3.2347817198611614E-2</v>
      </c>
      <c r="DU58" s="30">
        <v>4.6174650000000002</v>
      </c>
      <c r="DV58">
        <v>-0.5</v>
      </c>
      <c r="DW58">
        <v>-0.4</v>
      </c>
      <c r="DX58">
        <v>93.7</v>
      </c>
      <c r="DY58">
        <v>89.8</v>
      </c>
      <c r="DZ58">
        <v>1.6</v>
      </c>
      <c r="EA58">
        <v>1.7</v>
      </c>
      <c r="EB58">
        <v>2.2385109999999999</v>
      </c>
    </row>
    <row r="59" spans="1:132" ht="18">
      <c r="A59" s="14" t="s">
        <v>146</v>
      </c>
      <c r="B59" s="14">
        <v>6</v>
      </c>
      <c r="C59" s="14" t="s">
        <v>147</v>
      </c>
      <c r="D59" s="14" t="s">
        <v>148</v>
      </c>
      <c r="E59" s="14" t="s">
        <v>143</v>
      </c>
      <c r="F59" s="15">
        <v>4504</v>
      </c>
      <c r="G59" s="15">
        <v>3.65359838184329</v>
      </c>
      <c r="H59" s="15">
        <v>1768</v>
      </c>
      <c r="I59" s="15">
        <v>460</v>
      </c>
      <c r="J59" s="15">
        <v>2276</v>
      </c>
      <c r="K59" s="16">
        <v>1</v>
      </c>
      <c r="L59" s="17">
        <v>1.9131764505989295E-2</v>
      </c>
      <c r="M59" s="18">
        <v>220</v>
      </c>
      <c r="N59" s="18">
        <v>153</v>
      </c>
      <c r="O59" s="18">
        <v>0.89682539682539686</v>
      </c>
      <c r="P59" s="18">
        <v>3</v>
      </c>
      <c r="Q59" s="18">
        <f t="shared" si="23"/>
        <v>3.3333333333333335</v>
      </c>
      <c r="R59" s="18">
        <v>220</v>
      </c>
      <c r="S59" s="18">
        <v>5</v>
      </c>
      <c r="T59" s="19">
        <v>17902</v>
      </c>
      <c r="U59" s="19">
        <v>4.2529015527923457</v>
      </c>
      <c r="V59" s="20">
        <v>150231</v>
      </c>
      <c r="W59" s="20">
        <v>5.1767595580995254</v>
      </c>
      <c r="X59" s="20">
        <v>0.33117810707499129</v>
      </c>
      <c r="Y59" s="20">
        <v>0.33683549740000002</v>
      </c>
      <c r="Z59" s="20">
        <f t="shared" si="3"/>
        <v>-0.4725821466480743</v>
      </c>
      <c r="AA59" s="20">
        <v>0.30306345730000001</v>
      </c>
      <c r="AB59" s="20">
        <v>831</v>
      </c>
      <c r="AC59" s="20">
        <v>10195</v>
      </c>
      <c r="AE59" s="21"/>
      <c r="AF59" s="21"/>
      <c r="AG59" s="22">
        <v>0</v>
      </c>
      <c r="AH59" s="22">
        <v>0</v>
      </c>
      <c r="AI59" s="22">
        <v>2.0551654240000001</v>
      </c>
      <c r="AJ59" s="23">
        <v>453626</v>
      </c>
      <c r="AK59" s="23">
        <f t="shared" si="10"/>
        <v>5.6566979385941254</v>
      </c>
      <c r="AL59" s="24">
        <v>0.33125474199999999</v>
      </c>
      <c r="AM59" s="22">
        <f>19559+202048</f>
        <v>221607</v>
      </c>
      <c r="AN59" s="22">
        <f t="shared" si="19"/>
        <v>0.94132614051482455</v>
      </c>
      <c r="AO59" s="23">
        <v>2.5590733304960863E-2</v>
      </c>
      <c r="AP59" s="33">
        <v>2.5736539999999999E-2</v>
      </c>
      <c r="AQ59" s="23">
        <v>0.41055016028744346</v>
      </c>
      <c r="AR59" s="23">
        <v>235420</v>
      </c>
      <c r="AS59" s="23">
        <v>5.3718433553666971</v>
      </c>
      <c r="AT59" s="23">
        <v>5.3378544391791118</v>
      </c>
      <c r="AU59" s="22">
        <v>1.127</v>
      </c>
      <c r="AV59" s="22">
        <v>0.36038514440000002</v>
      </c>
      <c r="AW59" s="22">
        <v>28.388000000000002</v>
      </c>
      <c r="AX59" s="22">
        <v>27.460999999999999</v>
      </c>
      <c r="AY59" s="22">
        <v>1</v>
      </c>
      <c r="AZ59" s="24">
        <v>54043</v>
      </c>
      <c r="BA59" s="24">
        <f t="shared" si="5"/>
        <v>4.7327394492930468</v>
      </c>
      <c r="BB59" s="24">
        <v>30703</v>
      </c>
      <c r="BC59" s="24">
        <f t="shared" si="6"/>
        <v>4.4871808126039312</v>
      </c>
      <c r="BD59" s="24">
        <v>23340</v>
      </c>
      <c r="BE59" s="23">
        <v>1383</v>
      </c>
      <c r="BF59" s="23">
        <f t="shared" si="24"/>
        <v>266.5</v>
      </c>
      <c r="BG59" s="23">
        <v>-0.27818371607515657</v>
      </c>
      <c r="BH59" s="23">
        <v>5.8746070852094129E-3</v>
      </c>
      <c r="BI59" s="23">
        <v>5.3309590718121365E-2</v>
      </c>
      <c r="BJ59" s="23">
        <v>2.3813670025824761E-2</v>
      </c>
      <c r="BK59" s="23">
        <v>-0.88980205989065164</v>
      </c>
      <c r="BL59" s="23">
        <v>2282</v>
      </c>
      <c r="BM59" s="22">
        <v>5151</v>
      </c>
      <c r="BN59" s="22">
        <f t="shared" si="25"/>
        <v>1486.5</v>
      </c>
      <c r="BO59" s="22">
        <v>3.7118915498805789</v>
      </c>
      <c r="BP59" s="22">
        <v>9.5312991506763131E-2</v>
      </c>
      <c r="BQ59" s="22">
        <v>2.9669874232199005E-2</v>
      </c>
      <c r="BR59" s="22">
        <v>1.2424227448621684E-3</v>
      </c>
      <c r="BS59" s="22">
        <v>-1053</v>
      </c>
      <c r="BT59" s="22">
        <v>3.0224283711854865</v>
      </c>
      <c r="BU59" s="22">
        <v>4.4728570214935008E-3</v>
      </c>
      <c r="BV59" s="23">
        <v>2840</v>
      </c>
      <c r="BW59" s="22">
        <v>4978</v>
      </c>
      <c r="BX59" s="22">
        <v>23.51</v>
      </c>
      <c r="BY59" s="22">
        <v>1.3712526291249394</v>
      </c>
      <c r="BZ59" s="25">
        <v>2.9334500875656817E-2</v>
      </c>
      <c r="CA59" s="23">
        <v>3.947932438714675</v>
      </c>
      <c r="CB59" s="23">
        <v>394.7932438714675</v>
      </c>
      <c r="CC59" s="23">
        <v>2.5963697119447957</v>
      </c>
      <c r="CD59" s="23">
        <v>4.6043257728450531</v>
      </c>
      <c r="CE59" s="23">
        <v>15.998200940326045</v>
      </c>
      <c r="CF59" s="23">
        <v>1.3291267036850076</v>
      </c>
      <c r="CG59" s="23">
        <f t="shared" si="7"/>
        <v>0.28452211279775852</v>
      </c>
      <c r="CH59" s="26">
        <v>22.5</v>
      </c>
      <c r="CI59" s="26">
        <v>11.56</v>
      </c>
      <c r="CJ59" s="26">
        <v>1.3521825181113625</v>
      </c>
      <c r="CK59" s="26">
        <v>1.0629578340845103</v>
      </c>
      <c r="CL59" s="26">
        <v>0.94636678200692037</v>
      </c>
      <c r="CM59" s="27">
        <v>18.34360153256705</v>
      </c>
      <c r="CN59" s="27">
        <v>0.37954130333231201</v>
      </c>
      <c r="CQ59" s="27">
        <v>77.833846153846167</v>
      </c>
      <c r="CR59" s="27">
        <v>0.14479088628430173</v>
      </c>
      <c r="CS59" s="27">
        <v>0.72605363984674265</v>
      </c>
      <c r="CT59" s="27">
        <v>0.84238461538461584</v>
      </c>
      <c r="CU59" s="27">
        <v>-0.13809722235342442</v>
      </c>
      <c r="CV59" s="27">
        <v>0.78180076628352502</v>
      </c>
      <c r="CW59" s="27">
        <v>1.8930960917710087</v>
      </c>
      <c r="CX59" s="28">
        <v>0.88</v>
      </c>
      <c r="CY59" s="28">
        <v>0.56000000000000005</v>
      </c>
      <c r="CZ59" s="29">
        <v>19.614636019999999</v>
      </c>
      <c r="DA59" s="27">
        <v>0.18685412683753744</v>
      </c>
      <c r="DB59" s="27">
        <v>2.3607257116750975</v>
      </c>
      <c r="DC59" s="27">
        <v>1.322681365714484</v>
      </c>
      <c r="DD59" s="27">
        <v>1</v>
      </c>
      <c r="DE59" s="27">
        <v>-0.1</v>
      </c>
      <c r="DF59" s="27">
        <v>96.7</v>
      </c>
      <c r="DG59" s="28">
        <v>4.5716134024592483</v>
      </c>
      <c r="DH59" s="27">
        <v>0.96782999999999997</v>
      </c>
      <c r="DI59" s="27">
        <v>4.5</v>
      </c>
      <c r="DJ59" s="27">
        <v>2.5</v>
      </c>
      <c r="DK59" s="27">
        <v>1.8</v>
      </c>
      <c r="DL59" s="27">
        <v>1.679984422560547E-2</v>
      </c>
      <c r="DM59" s="27">
        <v>0.6855</v>
      </c>
      <c r="DN59" s="28">
        <v>0.84760000000000002</v>
      </c>
      <c r="DO59" s="28">
        <v>0.14154882154882151</v>
      </c>
      <c r="DP59" s="28">
        <f t="shared" si="26"/>
        <v>-9.5288372706876123E-2</v>
      </c>
      <c r="DQ59" s="27">
        <v>0.10279999999999989</v>
      </c>
      <c r="DR59" s="27">
        <v>2.77430650961079E-2</v>
      </c>
      <c r="DS59" s="27">
        <v>5.0662060808238797E-2</v>
      </c>
      <c r="DT59" s="27">
        <v>2.4490842135800685E-2</v>
      </c>
      <c r="DU59" s="30">
        <v>4.6191050000000002</v>
      </c>
      <c r="DV59">
        <v>-0.9</v>
      </c>
      <c r="DW59">
        <v>-0.7</v>
      </c>
      <c r="DX59">
        <v>96.2</v>
      </c>
      <c r="DY59">
        <v>92.4</v>
      </c>
      <c r="DZ59">
        <v>2.1</v>
      </c>
      <c r="EA59">
        <v>1.9</v>
      </c>
      <c r="EB59">
        <v>2.1588159999999998</v>
      </c>
    </row>
    <row r="60" spans="1:132" ht="18">
      <c r="A60" s="14" t="s">
        <v>146</v>
      </c>
      <c r="B60" s="14">
        <v>7</v>
      </c>
      <c r="C60" s="14" t="s">
        <v>147</v>
      </c>
      <c r="D60" s="14" t="s">
        <v>148</v>
      </c>
      <c r="E60" s="14" t="s">
        <v>143</v>
      </c>
      <c r="F60" s="15">
        <v>11260</v>
      </c>
      <c r="G60" s="15">
        <v>4.0515383905153275</v>
      </c>
      <c r="H60" s="15">
        <v>5927</v>
      </c>
      <c r="I60" s="15">
        <v>460</v>
      </c>
      <c r="J60" s="15">
        <v>4873</v>
      </c>
      <c r="K60" s="16">
        <v>1</v>
      </c>
      <c r="L60" s="17">
        <v>4.281954944403036E-2</v>
      </c>
      <c r="M60" s="18">
        <v>220</v>
      </c>
      <c r="N60" s="18">
        <v>153</v>
      </c>
      <c r="O60" s="18">
        <v>0.89682539682539686</v>
      </c>
      <c r="P60" s="18">
        <v>3</v>
      </c>
      <c r="Q60" s="18">
        <f t="shared" si="23"/>
        <v>3.3333333333333335</v>
      </c>
      <c r="R60" s="18">
        <v>220</v>
      </c>
      <c r="S60" s="18">
        <v>5</v>
      </c>
      <c r="T60" s="19">
        <v>18580</v>
      </c>
      <c r="U60" s="19">
        <v>4.2690457096576226</v>
      </c>
      <c r="V60" s="20">
        <v>147050</v>
      </c>
      <c r="W60" s="20">
        <v>5.1674650288430879</v>
      </c>
      <c r="X60" s="20">
        <v>0.32568131734272393</v>
      </c>
      <c r="Y60" s="20">
        <v>0.35528079849999999</v>
      </c>
      <c r="Z60" s="20">
        <f t="shared" si="3"/>
        <v>-0.44942826374860562</v>
      </c>
      <c r="AA60" s="20">
        <v>0.36965517240000001</v>
      </c>
      <c r="AB60" s="20">
        <v>804</v>
      </c>
      <c r="AC60" s="20">
        <v>9540</v>
      </c>
      <c r="AE60" s="21"/>
      <c r="AF60" s="21"/>
      <c r="AG60" s="22">
        <v>0</v>
      </c>
      <c r="AH60" s="22">
        <v>0</v>
      </c>
      <c r="AI60" s="22">
        <v>1.4615306539999999</v>
      </c>
      <c r="AJ60" s="23">
        <v>451515</v>
      </c>
      <c r="AK60" s="23">
        <f t="shared" si="10"/>
        <v>5.6546721827979587</v>
      </c>
      <c r="AL60" s="24">
        <v>0.34108014800000003</v>
      </c>
      <c r="AM60" s="22">
        <f>11714+241398</f>
        <v>253112</v>
      </c>
      <c r="AN60" s="22">
        <f t="shared" si="19"/>
        <v>0.96253479563742561</v>
      </c>
      <c r="AO60" s="23">
        <v>-3.0987259977236847E-2</v>
      </c>
      <c r="AP60" s="33">
        <v>4.0435066999999998E-2</v>
      </c>
      <c r="AQ60" s="23">
        <v>0.60675816706345653</v>
      </c>
      <c r="AR60" s="23">
        <v>262964</v>
      </c>
      <c r="AS60" s="23">
        <v>5.4198962972673437</v>
      </c>
      <c r="AT60" s="23">
        <v>5.3718433553666971</v>
      </c>
      <c r="AU60" s="22">
        <v>0.92100000000000004</v>
      </c>
      <c r="AV60" s="22">
        <v>0.4158546488</v>
      </c>
      <c r="AW60" s="22">
        <v>14.398999999999999</v>
      </c>
      <c r="AX60" s="22">
        <v>28.388000000000002</v>
      </c>
      <c r="AY60" s="22">
        <v>1</v>
      </c>
      <c r="AZ60" s="24">
        <v>54474</v>
      </c>
      <c r="BA60" s="24">
        <f t="shared" si="5"/>
        <v>4.7361892664819809</v>
      </c>
      <c r="BB60" s="24">
        <v>31979</v>
      </c>
      <c r="BC60" s="24">
        <f t="shared" si="6"/>
        <v>4.5048648790077097</v>
      </c>
      <c r="BD60" s="24">
        <v>22495</v>
      </c>
      <c r="BE60" s="23">
        <v>-1688</v>
      </c>
      <c r="BF60" s="23">
        <f t="shared" si="24"/>
        <v>1535.5</v>
      </c>
      <c r="BG60" s="23">
        <v>-2.2205350686912508</v>
      </c>
      <c r="BH60" s="23">
        <v>-6.4191296147001111E-3</v>
      </c>
      <c r="BI60" s="23">
        <v>5.8746070852094129E-3</v>
      </c>
      <c r="BJ60" s="23">
        <v>2.3813670025824761E-2</v>
      </c>
      <c r="BK60" s="23">
        <v>-2.092690884954953</v>
      </c>
      <c r="BL60" s="23">
        <v>1873</v>
      </c>
      <c r="BM60" s="22">
        <v>1939</v>
      </c>
      <c r="BN60" s="22">
        <f t="shared" si="25"/>
        <v>1606</v>
      </c>
      <c r="BO60" s="22">
        <v>3.2875778090787056</v>
      </c>
      <c r="BP60" s="22">
        <v>3.5594962734515546E-2</v>
      </c>
      <c r="BQ60" s="22">
        <v>2.9859014386123789E-2</v>
      </c>
      <c r="BR60" s="22">
        <v>2.9669874232199005E-2</v>
      </c>
      <c r="BS60" s="22">
        <v>-441</v>
      </c>
      <c r="BT60" s="22">
        <v>2.6444385894678386</v>
      </c>
      <c r="BU60" s="22">
        <v>1.6770356398594485E-3</v>
      </c>
      <c r="BV60" s="23">
        <v>1909</v>
      </c>
      <c r="BW60" s="22">
        <v>4097</v>
      </c>
      <c r="BX60" s="22">
        <v>11.91</v>
      </c>
      <c r="BY60" s="22">
        <v>1.0759117614827776</v>
      </c>
      <c r="BZ60" s="25">
        <v>-0.49340706082518082</v>
      </c>
      <c r="CA60" s="23">
        <v>15.998200940326045</v>
      </c>
      <c r="CB60" s="23">
        <v>1599.8200940326046</v>
      </c>
      <c r="CC60" s="23">
        <v>3.2040711473047567</v>
      </c>
      <c r="CD60" s="23">
        <v>3.947932438714675</v>
      </c>
      <c r="CE60" s="23">
        <v>5.8322610508718871</v>
      </c>
      <c r="CF60" s="23">
        <v>3.5487627365356622</v>
      </c>
      <c r="CG60" s="23">
        <f t="shared" si="7"/>
        <v>1.2665990178188675</v>
      </c>
      <c r="CH60" s="26">
        <v>40</v>
      </c>
      <c r="CI60" s="26">
        <v>22.5</v>
      </c>
      <c r="CJ60" s="26">
        <v>1.6020599913279623</v>
      </c>
      <c r="CK60" s="26">
        <v>1.3521825181113625</v>
      </c>
      <c r="CL60" s="26">
        <v>0.77777777777777779</v>
      </c>
      <c r="CM60" s="27">
        <v>34.430804597701169</v>
      </c>
      <c r="CN60" s="27">
        <v>0.87699261437690179</v>
      </c>
      <c r="CO60" s="27">
        <v>14.002720000000007</v>
      </c>
      <c r="CQ60" s="27">
        <v>141.16230769230771</v>
      </c>
      <c r="CR60" s="27">
        <v>0.81363654332700808</v>
      </c>
      <c r="CS60" s="27">
        <v>1.4151340996168575</v>
      </c>
      <c r="CT60" s="27">
        <v>0.72605363984674265</v>
      </c>
      <c r="CU60" s="27">
        <v>0.94907651715039654</v>
      </c>
      <c r="CV60" s="27">
        <v>1.549389312977099</v>
      </c>
      <c r="CW60" s="27">
        <v>2.1901605560639821</v>
      </c>
      <c r="CX60" s="28">
        <v>2.34</v>
      </c>
      <c r="CY60" s="28">
        <v>0.88</v>
      </c>
      <c r="CZ60" s="29">
        <v>33.709007630000002</v>
      </c>
      <c r="DA60" s="27">
        <v>0.71856401493398725</v>
      </c>
      <c r="DB60" s="27">
        <v>3.1430399491928545</v>
      </c>
      <c r="DC60" s="27">
        <v>2.3607257116750975</v>
      </c>
      <c r="DD60" s="27">
        <v>1</v>
      </c>
      <c r="DE60" s="27">
        <v>-0.6</v>
      </c>
      <c r="DF60" s="27">
        <v>97.5</v>
      </c>
      <c r="DG60" s="28">
        <v>4.5798523780038014</v>
      </c>
      <c r="DH60" s="27">
        <v>0.98065000000000002</v>
      </c>
      <c r="DI60" s="27">
        <v>4.4000000000000004</v>
      </c>
      <c r="DJ60" s="27">
        <v>3.1</v>
      </c>
      <c r="DK60" s="27">
        <v>2</v>
      </c>
      <c r="DL60" s="27">
        <v>4.1965997035105826E-2</v>
      </c>
      <c r="DM60" s="27">
        <v>0.71560000000000001</v>
      </c>
      <c r="DN60" s="28">
        <v>0.75849999999999995</v>
      </c>
      <c r="DO60" s="28">
        <v>-0.10512033978291654</v>
      </c>
      <c r="DP60" s="28">
        <f t="shared" si="26"/>
        <v>4.3909555069292512E-2</v>
      </c>
      <c r="DQ60" s="27">
        <v>0.17789999999999995</v>
      </c>
      <c r="DR60" s="27">
        <v>5.0662060808238797E-2</v>
      </c>
      <c r="DS60" s="27">
        <v>3.802148779895468E-2</v>
      </c>
      <c r="DT60" s="27">
        <v>2.77430650961079E-2</v>
      </c>
      <c r="DU60" s="30">
        <v>5.7984980000000004</v>
      </c>
      <c r="DV60">
        <v>-1</v>
      </c>
      <c r="DW60">
        <v>0.7</v>
      </c>
      <c r="DX60">
        <v>98</v>
      </c>
      <c r="DY60">
        <v>95</v>
      </c>
      <c r="DZ60">
        <v>1.6</v>
      </c>
      <c r="EA60">
        <v>1.7</v>
      </c>
      <c r="EB60">
        <v>2.0603549999999999</v>
      </c>
    </row>
    <row r="61" spans="1:132" ht="18">
      <c r="A61" s="14" t="s">
        <v>146</v>
      </c>
      <c r="B61" s="14">
        <v>8</v>
      </c>
      <c r="C61" s="14" t="s">
        <v>147</v>
      </c>
      <c r="D61" s="14" t="s">
        <v>148</v>
      </c>
      <c r="E61" s="14" t="s">
        <v>143</v>
      </c>
      <c r="F61" s="15">
        <v>5017</v>
      </c>
      <c r="G61" s="15">
        <v>3.7004441010277516</v>
      </c>
      <c r="H61" s="15">
        <v>2423</v>
      </c>
      <c r="I61" s="15">
        <v>275</v>
      </c>
      <c r="J61" s="15">
        <v>2319</v>
      </c>
      <c r="K61" s="16">
        <v>1</v>
      </c>
      <c r="L61" s="17">
        <v>0.14442397374632968</v>
      </c>
      <c r="M61" s="18">
        <v>220</v>
      </c>
      <c r="N61" s="18">
        <v>153</v>
      </c>
      <c r="O61" s="18">
        <v>0.89682539682539686</v>
      </c>
      <c r="P61" s="18">
        <v>3</v>
      </c>
      <c r="Q61" s="18">
        <f t="shared" si="23"/>
        <v>3.3333333333333335</v>
      </c>
      <c r="R61" s="18">
        <v>220</v>
      </c>
      <c r="S61" s="18">
        <v>5</v>
      </c>
      <c r="T61" s="19">
        <v>13964</v>
      </c>
      <c r="U61" s="19">
        <v>4.1450098401421416</v>
      </c>
      <c r="V61" s="20">
        <v>137732</v>
      </c>
      <c r="W61" s="20">
        <v>5.1390348539015509</v>
      </c>
      <c r="X61" s="20">
        <v>0.32431490560084392</v>
      </c>
      <c r="Y61" s="20">
        <v>0.35505743909999998</v>
      </c>
      <c r="Z61" s="20">
        <f t="shared" si="3"/>
        <v>-0.44970138365955392</v>
      </c>
      <c r="AA61" s="20">
        <v>0.2015371477</v>
      </c>
      <c r="AB61" s="20">
        <v>236</v>
      </c>
      <c r="AC61" s="20">
        <v>6336</v>
      </c>
      <c r="AE61" s="21"/>
      <c r="AF61" s="21"/>
      <c r="AG61" s="22">
        <v>0</v>
      </c>
      <c r="AH61" s="22">
        <v>0</v>
      </c>
      <c r="AI61" s="22">
        <v>1.971352593</v>
      </c>
      <c r="AJ61" s="23">
        <v>424686</v>
      </c>
      <c r="AK61" s="23">
        <f t="shared" si="10"/>
        <v>5.6280679444779347</v>
      </c>
      <c r="AL61" s="24">
        <v>0.30224454000000001</v>
      </c>
      <c r="AM61" s="22">
        <f>14102+12363</f>
        <v>26465</v>
      </c>
      <c r="AN61" s="22">
        <f t="shared" si="19"/>
        <v>0.76184581726063672</v>
      </c>
      <c r="AO61" s="23">
        <v>1.3939092227440964E-2</v>
      </c>
      <c r="AP61" s="33">
        <v>1.4762178000000001E-2</v>
      </c>
      <c r="AQ61" s="23">
        <v>0.169150437676723</v>
      </c>
      <c r="AR61" s="23">
        <v>34738</v>
      </c>
      <c r="AS61" s="23">
        <v>4.5408048108305001</v>
      </c>
      <c r="AT61" s="23">
        <v>5.4198962972673437</v>
      </c>
      <c r="AU61" s="22">
        <v>1.4870000000000001</v>
      </c>
      <c r="AV61" s="22">
        <v>0.89919013660000002</v>
      </c>
      <c r="AW61" s="22">
        <v>16.309000000000001</v>
      </c>
      <c r="AX61" s="22">
        <v>14.398999999999999</v>
      </c>
      <c r="AY61" s="22">
        <v>1</v>
      </c>
      <c r="AZ61" s="24">
        <v>46201</v>
      </c>
      <c r="BA61" s="24">
        <f t="shared" si="5"/>
        <v>4.6646513757678534</v>
      </c>
      <c r="BB61" s="24">
        <v>25774</v>
      </c>
      <c r="BC61" s="24">
        <f t="shared" si="6"/>
        <v>4.4111818241822531</v>
      </c>
      <c r="BD61" s="24">
        <v>20427</v>
      </c>
      <c r="BE61" s="23">
        <v>644</v>
      </c>
      <c r="BF61" s="23">
        <f t="shared" si="24"/>
        <v>1166</v>
      </c>
      <c r="BG61" s="23">
        <v>-1.3815165876777251</v>
      </c>
      <c r="BH61" s="23">
        <v>1.8538775980194599E-2</v>
      </c>
      <c r="BI61" s="23">
        <v>-6.4191296147001111E-3</v>
      </c>
      <c r="BJ61" s="23">
        <v>2.3813670025824761E-2</v>
      </c>
      <c r="BK61" s="23">
        <v>-3.8880513547724487</v>
      </c>
      <c r="BL61" s="23">
        <v>1979</v>
      </c>
      <c r="BM61" s="22">
        <v>1244</v>
      </c>
      <c r="BN61" s="22">
        <f t="shared" si="25"/>
        <v>347.5</v>
      </c>
      <c r="BO61" s="22">
        <v>3.0948203803548</v>
      </c>
      <c r="BP61" s="22">
        <v>2.6925824116361116E-2</v>
      </c>
      <c r="BQ61" s="22">
        <v>4.3345693090772151E-3</v>
      </c>
      <c r="BR61" s="22">
        <v>2.9859014386123789E-2</v>
      </c>
      <c r="BS61" s="22">
        <v>-2710</v>
      </c>
      <c r="BT61" s="22">
        <v>3.4329692908744058</v>
      </c>
      <c r="BU61" s="22">
        <v>7.8012551096781624E-2</v>
      </c>
      <c r="BV61" s="23">
        <v>4386</v>
      </c>
      <c r="BW61" s="22">
        <v>7439</v>
      </c>
      <c r="BX61" s="22">
        <v>13.49</v>
      </c>
      <c r="BY61" s="22">
        <v>1.1300119496719043</v>
      </c>
      <c r="BZ61" s="25">
        <v>0.13266162888329136</v>
      </c>
      <c r="CA61" s="23">
        <v>5.8322610508718871</v>
      </c>
      <c r="CB61" s="23">
        <v>583.22610508718867</v>
      </c>
      <c r="CC61" s="23">
        <v>2.7658369546816335</v>
      </c>
      <c r="CD61" s="23">
        <v>15.998200940326045</v>
      </c>
      <c r="CE61" s="23">
        <v>7.1555148383187932</v>
      </c>
      <c r="CF61" s="23">
        <v>2.0939393939393942</v>
      </c>
      <c r="CG61" s="23">
        <f t="shared" si="7"/>
        <v>0.73904716930714409</v>
      </c>
      <c r="CH61" s="26">
        <v>21.68</v>
      </c>
      <c r="CI61" s="26">
        <v>40</v>
      </c>
      <c r="CJ61" s="26">
        <v>1.3360592778663494</v>
      </c>
      <c r="CK61" s="26">
        <v>1.6020599913279623</v>
      </c>
      <c r="CL61" s="26">
        <v>-0.45800000000000002</v>
      </c>
      <c r="CM61" s="27">
        <v>32.806781609195411</v>
      </c>
      <c r="CN61" s="27">
        <v>-4.7167732717294325E-2</v>
      </c>
      <c r="CO61" s="27">
        <v>14.687391304347829</v>
      </c>
      <c r="CP61" s="27">
        <v>4.8895593452402179E-2</v>
      </c>
      <c r="CQ61" s="27">
        <v>128.33115384615388</v>
      </c>
      <c r="CR61" s="27">
        <v>-9.0896458522922177E-2</v>
      </c>
      <c r="CS61" s="27">
        <v>1.3546743295019157</v>
      </c>
      <c r="CT61" s="27">
        <v>1.4151340996168575</v>
      </c>
      <c r="CU61" s="27">
        <v>-4.272370380397951E-2</v>
      </c>
      <c r="CV61" s="27">
        <v>1.5608045977011498</v>
      </c>
      <c r="CW61" s="27">
        <v>2.1933485357004661</v>
      </c>
      <c r="CX61" s="28">
        <v>1.03</v>
      </c>
      <c r="CY61" s="28">
        <v>2.34</v>
      </c>
      <c r="CZ61" s="29">
        <v>33.580881230000003</v>
      </c>
      <c r="DA61" s="27">
        <v>-3.8009543741646867E-3</v>
      </c>
      <c r="DB61" s="27">
        <v>1.4102002336892525</v>
      </c>
      <c r="DC61" s="27">
        <v>3.1430399491928545</v>
      </c>
      <c r="DD61" s="27">
        <v>1</v>
      </c>
      <c r="DE61" s="27">
        <v>2</v>
      </c>
      <c r="DF61" s="27">
        <v>99.3</v>
      </c>
      <c r="DG61" s="28">
        <v>4.598145571051127</v>
      </c>
      <c r="DH61" s="27">
        <v>0.99378999999999995</v>
      </c>
      <c r="DI61" s="27">
        <v>4.5</v>
      </c>
      <c r="DJ61" s="27">
        <v>1.4</v>
      </c>
      <c r="DK61" s="27">
        <v>2.6</v>
      </c>
      <c r="DL61" s="27">
        <v>2.4369778879479467E-2</v>
      </c>
      <c r="DM61" s="27">
        <v>0.69779999999999998</v>
      </c>
      <c r="DN61" s="28">
        <v>0.68400000000000005</v>
      </c>
      <c r="DO61" s="28">
        <v>-9.8220171390902972E-2</v>
      </c>
      <c r="DP61" s="28">
        <f t="shared" si="26"/>
        <v>-2.487423141419793E-2</v>
      </c>
      <c r="DQ61" s="27">
        <v>0.13560000000000005</v>
      </c>
      <c r="DR61" s="27">
        <v>3.802148779895468E-2</v>
      </c>
      <c r="DS61" s="27">
        <v>3.4239891893164551E-2</v>
      </c>
      <c r="DT61" s="27">
        <v>5.0662060808238797E-2</v>
      </c>
      <c r="DU61" s="30">
        <v>9.2708490000000001</v>
      </c>
      <c r="DV61">
        <v>2.2000000000000002</v>
      </c>
      <c r="DW61">
        <v>2.6</v>
      </c>
      <c r="DX61">
        <v>98.8</v>
      </c>
      <c r="DY61">
        <v>96.9</v>
      </c>
      <c r="DZ61">
        <v>1.3</v>
      </c>
      <c r="EA61">
        <v>2.5</v>
      </c>
      <c r="EB61">
        <v>1.1868369999999999</v>
      </c>
    </row>
    <row r="62" spans="1:132" ht="18">
      <c r="A62" s="14" t="s">
        <v>146</v>
      </c>
      <c r="B62" s="14">
        <v>9</v>
      </c>
      <c r="C62" s="14" t="s">
        <v>147</v>
      </c>
      <c r="D62" s="14" t="s">
        <v>148</v>
      </c>
      <c r="E62" s="14" t="s">
        <v>143</v>
      </c>
      <c r="F62" s="15">
        <v>4814</v>
      </c>
      <c r="G62" s="15">
        <v>3.6825060859390111</v>
      </c>
      <c r="H62" s="15">
        <v>2280</v>
      </c>
      <c r="I62" s="15">
        <v>0</v>
      </c>
      <c r="J62" s="15">
        <v>2534</v>
      </c>
      <c r="K62" s="16">
        <v>1</v>
      </c>
      <c r="L62" s="17">
        <v>0.12747927865900485</v>
      </c>
      <c r="M62" s="18">
        <v>220</v>
      </c>
      <c r="N62" s="18">
        <v>153</v>
      </c>
      <c r="O62" s="18">
        <v>0.89682539682539686</v>
      </c>
      <c r="P62" s="18">
        <v>3</v>
      </c>
      <c r="Q62" s="18">
        <f t="shared" si="23"/>
        <v>3.3333333333333335</v>
      </c>
      <c r="R62" s="18">
        <v>220</v>
      </c>
      <c r="S62" s="18">
        <v>5</v>
      </c>
      <c r="T62" s="19">
        <v>18003</v>
      </c>
      <c r="U62" s="19">
        <v>4.2553448814857591</v>
      </c>
      <c r="V62" s="20">
        <v>142703</v>
      </c>
      <c r="W62" s="20">
        <v>5.1544331032460455</v>
      </c>
      <c r="X62" s="20">
        <v>0.34062385128393635</v>
      </c>
      <c r="Y62" s="20">
        <v>0.37676756519999999</v>
      </c>
      <c r="Z62" s="20">
        <f t="shared" si="3"/>
        <v>-0.42392649139127847</v>
      </c>
      <c r="AA62" s="20">
        <v>0.28129952460000002</v>
      </c>
      <c r="AB62" s="20">
        <v>355</v>
      </c>
      <c r="AC62" s="20">
        <v>6821</v>
      </c>
      <c r="AE62" s="21"/>
      <c r="AF62" s="21"/>
      <c r="AG62" s="22">
        <v>0</v>
      </c>
      <c r="AH62" s="22">
        <v>0</v>
      </c>
      <c r="AI62" s="22">
        <v>1.4354899029999999</v>
      </c>
      <c r="AJ62" s="23">
        <v>418946</v>
      </c>
      <c r="AK62" s="23">
        <f t="shared" si="10"/>
        <v>5.6221580482327083</v>
      </c>
      <c r="AL62" s="24">
        <v>0.34970183199999999</v>
      </c>
      <c r="AM62" s="22">
        <f>13844+13223</f>
        <v>27067</v>
      </c>
      <c r="AN62" s="22">
        <f t="shared" si="19"/>
        <v>0.71675979133013801</v>
      </c>
      <c r="AO62" s="23">
        <v>4.9358015578562967E-2</v>
      </c>
      <c r="AP62" s="33">
        <v>5.6655500000000005E-4</v>
      </c>
      <c r="AQ62" s="23">
        <v>-1.2467579233344663</v>
      </c>
      <c r="AR62" s="23">
        <v>37763</v>
      </c>
      <c r="AS62" s="23">
        <v>4.5770664885839754</v>
      </c>
      <c r="AT62" s="23">
        <v>4.5408048108305001</v>
      </c>
      <c r="AU62" s="22">
        <v>1.19</v>
      </c>
      <c r="AV62" s="22">
        <v>0.65650710550000002</v>
      </c>
      <c r="AW62" s="22">
        <v>15.353999999999999</v>
      </c>
      <c r="AX62" s="22">
        <v>16.309000000000001</v>
      </c>
      <c r="AY62" s="22">
        <v>1</v>
      </c>
      <c r="AZ62" s="24">
        <v>51481</v>
      </c>
      <c r="BA62" s="24">
        <f t="shared" si="5"/>
        <v>4.7116469743291605</v>
      </c>
      <c r="BB62" s="24">
        <v>29473</v>
      </c>
      <c r="BC62" s="24">
        <f t="shared" si="6"/>
        <v>4.4694243441001609</v>
      </c>
      <c r="BD62" s="24">
        <v>22008</v>
      </c>
      <c r="BE62" s="23">
        <v>2541</v>
      </c>
      <c r="BF62" s="23">
        <f t="shared" si="24"/>
        <v>948.5</v>
      </c>
      <c r="BG62" s="23">
        <v>2.9456521739130435</v>
      </c>
      <c r="BH62" s="23">
        <v>6.7288086221963292E-2</v>
      </c>
      <c r="BI62" s="23">
        <v>1.8538775980194599E-2</v>
      </c>
      <c r="BJ62" s="23">
        <v>2.3813670025824761E-2</v>
      </c>
      <c r="BK62" s="23">
        <v>2.6295862409604984</v>
      </c>
      <c r="BL62" s="23">
        <v>693</v>
      </c>
      <c r="BM62" s="22">
        <v>1927</v>
      </c>
      <c r="BN62" s="22">
        <f t="shared" si="25"/>
        <v>341.5</v>
      </c>
      <c r="BO62" s="22">
        <v>3.284881714655453</v>
      </c>
      <c r="BP62" s="22">
        <v>3.743128532856782E-2</v>
      </c>
      <c r="BQ62" s="22">
        <v>5.2527306061033521E-3</v>
      </c>
      <c r="BR62" s="22">
        <v>4.3345693090772151E-3</v>
      </c>
      <c r="BS62" s="22">
        <v>8</v>
      </c>
      <c r="BT62" s="22"/>
      <c r="BU62" s="22">
        <v>-2.1184757566930593E-4</v>
      </c>
      <c r="BV62" s="23">
        <v>1643</v>
      </c>
      <c r="BW62" s="22">
        <v>7022</v>
      </c>
      <c r="BX62" s="22">
        <v>12.7</v>
      </c>
      <c r="BY62" s="22">
        <v>1.1038037209559568</v>
      </c>
      <c r="BZ62" s="25">
        <v>-5.8561897702001549E-2</v>
      </c>
      <c r="CA62" s="23">
        <v>7.1555148383187932</v>
      </c>
      <c r="CB62" s="23">
        <v>715.5514838318793</v>
      </c>
      <c r="CC62" s="23">
        <v>2.8546408866488413</v>
      </c>
      <c r="CD62" s="23">
        <v>5.8322610508718871</v>
      </c>
      <c r="CE62" s="23">
        <v>5.4867350811381188</v>
      </c>
      <c r="CF62" s="23">
        <v>1.3346957311534968</v>
      </c>
      <c r="CG62" s="23">
        <f t="shared" si="7"/>
        <v>0.28870334913629209</v>
      </c>
      <c r="CH62" s="26">
        <v>17.75</v>
      </c>
      <c r="CI62" s="26">
        <v>21.68</v>
      </c>
      <c r="CJ62" s="26">
        <v>1.249198357391113</v>
      </c>
      <c r="CK62" s="26">
        <v>1.3360592778663494</v>
      </c>
      <c r="CL62" s="26">
        <v>-0.18127306273062729</v>
      </c>
      <c r="CM62" s="27">
        <v>23.674061302682002</v>
      </c>
      <c r="CN62" s="27">
        <v>-0.27837903806917774</v>
      </c>
      <c r="CO62" s="27">
        <v>13.172845849802364</v>
      </c>
      <c r="CP62" s="27">
        <v>-0.10311875153058132</v>
      </c>
      <c r="CQ62" s="27">
        <v>93.814615384615436</v>
      </c>
      <c r="CR62" s="27">
        <v>-0.26896460779054171</v>
      </c>
      <c r="CS62" s="27">
        <v>1.0575095785440605</v>
      </c>
      <c r="CT62" s="27">
        <v>1.3546743295019157</v>
      </c>
      <c r="CU62" s="27">
        <v>-0.21936250247475808</v>
      </c>
      <c r="CV62" s="27">
        <v>1.2699233716475098</v>
      </c>
      <c r="CW62" s="27">
        <v>2.1037775160152683</v>
      </c>
      <c r="CX62" s="28">
        <v>0.92</v>
      </c>
      <c r="CY62" s="28">
        <v>1.03</v>
      </c>
      <c r="CZ62" s="29">
        <v>26.404674329999999</v>
      </c>
      <c r="DA62" s="27">
        <v>-0.21369918349816944</v>
      </c>
      <c r="DB62" s="27">
        <v>3.3676575479931978</v>
      </c>
      <c r="DC62" s="27">
        <v>1.4102002336892525</v>
      </c>
      <c r="DD62" s="27">
        <v>1</v>
      </c>
      <c r="DE62" s="27">
        <v>1.9</v>
      </c>
      <c r="DF62" s="27">
        <v>100</v>
      </c>
      <c r="DG62" s="28">
        <v>4.6051701859880918</v>
      </c>
      <c r="DH62" s="27">
        <v>1</v>
      </c>
      <c r="DI62" s="27">
        <v>4.3</v>
      </c>
      <c r="DJ62" s="27">
        <v>2</v>
      </c>
      <c r="DK62" s="27">
        <v>2.5</v>
      </c>
      <c r="DL62" s="27">
        <v>2.4833477735949187E-2</v>
      </c>
      <c r="DM62" s="27">
        <v>0.74709999999999999</v>
      </c>
      <c r="DN62" s="28">
        <v>0.71719999999999995</v>
      </c>
      <c r="DO62" s="28">
        <v>4.8538011695906276E-2</v>
      </c>
      <c r="DP62" s="28">
        <f t="shared" si="26"/>
        <v>7.0650616222413323E-2</v>
      </c>
      <c r="DQ62" s="27">
        <v>0.14990000000000003</v>
      </c>
      <c r="DR62" s="27">
        <v>3.4239891893164551E-2</v>
      </c>
      <c r="DS62" s="27">
        <v>2.4180879115385762E-2</v>
      </c>
      <c r="DT62" s="27">
        <v>3.802148779895468E-2</v>
      </c>
      <c r="DU62" s="30">
        <v>9.6228090000000002</v>
      </c>
      <c r="DV62">
        <v>2.7</v>
      </c>
      <c r="DW62">
        <v>2.9</v>
      </c>
      <c r="DX62">
        <v>100</v>
      </c>
      <c r="DY62">
        <v>100</v>
      </c>
      <c r="DZ62">
        <v>0.2</v>
      </c>
      <c r="EA62">
        <v>2</v>
      </c>
      <c r="EB62">
        <v>1.2855829999999999</v>
      </c>
    </row>
    <row r="63" spans="1:132" ht="18">
      <c r="A63" s="14" t="s">
        <v>146</v>
      </c>
      <c r="B63" s="14">
        <v>10</v>
      </c>
      <c r="C63" s="14" t="s">
        <v>147</v>
      </c>
      <c r="D63" s="14" t="s">
        <v>148</v>
      </c>
      <c r="E63" s="14" t="s">
        <v>143</v>
      </c>
      <c r="F63" s="15">
        <v>3490</v>
      </c>
      <c r="G63" s="15">
        <v>3.5428254269591797</v>
      </c>
      <c r="H63" s="15">
        <v>1483</v>
      </c>
      <c r="I63" s="15">
        <v>0</v>
      </c>
      <c r="J63" s="15">
        <v>2007</v>
      </c>
      <c r="K63" s="16">
        <v>1</v>
      </c>
      <c r="L63" s="17">
        <v>9.086648614871902E-2</v>
      </c>
      <c r="M63" s="18">
        <v>220</v>
      </c>
      <c r="N63" s="18">
        <v>153</v>
      </c>
      <c r="O63" s="18">
        <v>0.89682539682539686</v>
      </c>
      <c r="P63" s="18">
        <v>3</v>
      </c>
      <c r="Q63" s="18">
        <f t="shared" si="23"/>
        <v>3.3333333333333335</v>
      </c>
      <c r="R63" s="18">
        <v>220</v>
      </c>
      <c r="S63" s="18">
        <v>5</v>
      </c>
      <c r="T63" s="19">
        <v>18611</v>
      </c>
      <c r="U63" s="19">
        <v>4.2697697091229223</v>
      </c>
      <c r="V63" s="20">
        <v>147186</v>
      </c>
      <c r="W63" s="20">
        <v>5.1678665028554116</v>
      </c>
      <c r="X63" s="20">
        <v>0.34754499388432641</v>
      </c>
      <c r="Y63" s="20">
        <v>0.37497346640000001</v>
      </c>
      <c r="Z63" s="20">
        <f t="shared" si="3"/>
        <v>-0.42599946241564246</v>
      </c>
      <c r="AA63" s="20">
        <v>0.23951048950000001</v>
      </c>
      <c r="AB63" s="20">
        <v>411</v>
      </c>
      <c r="AC63" s="20">
        <v>7066</v>
      </c>
      <c r="AE63" s="21"/>
      <c r="AF63" s="21"/>
      <c r="AG63" s="22">
        <v>0</v>
      </c>
      <c r="AH63" s="22">
        <v>0</v>
      </c>
      <c r="AI63" s="22">
        <v>1.2825252250000001</v>
      </c>
      <c r="AJ63" s="23">
        <v>423502</v>
      </c>
      <c r="AK63" s="23">
        <f t="shared" si="10"/>
        <v>5.6268554656393652</v>
      </c>
      <c r="AL63" s="24">
        <v>0.35228756900000002</v>
      </c>
      <c r="AM63" s="22">
        <f>8587+18622</f>
        <v>27209</v>
      </c>
      <c r="AN63" s="22">
        <f t="shared" si="19"/>
        <v>0.70842012080816497</v>
      </c>
      <c r="AO63" s="23">
        <v>2.201442389596623E-2</v>
      </c>
      <c r="AP63" s="33">
        <v>2.2544279E-2</v>
      </c>
      <c r="AQ63" s="23">
        <v>0.35303635047299414</v>
      </c>
      <c r="AR63" s="23">
        <v>38408</v>
      </c>
      <c r="AS63" s="23">
        <v>4.5844216929611097</v>
      </c>
      <c r="AT63" s="23">
        <v>4.5770664885839754</v>
      </c>
      <c r="AU63" s="22">
        <v>1.177</v>
      </c>
      <c r="AV63" s="22">
        <v>0.62594874540000001</v>
      </c>
      <c r="AW63" s="22">
        <v>14.363</v>
      </c>
      <c r="AX63" s="22">
        <v>15.353999999999999</v>
      </c>
      <c r="AY63" s="22">
        <v>1</v>
      </c>
      <c r="AZ63" s="24">
        <v>52829</v>
      </c>
      <c r="BA63" s="24">
        <f t="shared" si="5"/>
        <v>4.7228723900056551</v>
      </c>
      <c r="BB63" s="24">
        <v>30544</v>
      </c>
      <c r="BC63" s="24">
        <f t="shared" si="6"/>
        <v>4.4849259110495918</v>
      </c>
      <c r="BD63" s="24">
        <v>22285</v>
      </c>
      <c r="BE63" s="23">
        <v>1163</v>
      </c>
      <c r="BF63" s="23">
        <f t="shared" si="24"/>
        <v>689</v>
      </c>
      <c r="BG63" s="23">
        <v>-0.54230617866981501</v>
      </c>
      <c r="BH63" s="23">
        <v>3.0280149968756508E-2</v>
      </c>
      <c r="BI63" s="23">
        <v>6.7288086221963292E-2</v>
      </c>
      <c r="BJ63" s="23">
        <v>2.3813670025824761E-2</v>
      </c>
      <c r="BK63" s="23">
        <v>-0.549992403278177</v>
      </c>
      <c r="BL63" s="23">
        <v>2630</v>
      </c>
      <c r="BM63" s="22">
        <v>2371</v>
      </c>
      <c r="BN63" s="22">
        <f t="shared" si="25"/>
        <v>222</v>
      </c>
      <c r="BO63" s="22">
        <v>3.3749315539781883</v>
      </c>
      <c r="BP63" s="22">
        <v>4.4880652671827975E-2</v>
      </c>
      <c r="BQ63" s="22">
        <v>3.7246836716300774E-3</v>
      </c>
      <c r="BR63" s="22">
        <v>5.2527306061033521E-3</v>
      </c>
      <c r="BS63" s="22">
        <v>-1129</v>
      </c>
      <c r="BT63" s="22">
        <v>3.0526939419249679</v>
      </c>
      <c r="BU63" s="22">
        <v>2.9394917725473861E-2</v>
      </c>
      <c r="BV63" s="23">
        <v>2676</v>
      </c>
      <c r="BW63" s="22">
        <v>7010</v>
      </c>
      <c r="BX63" s="22">
        <v>11.88</v>
      </c>
      <c r="BY63" s="22">
        <v>1.0748164406451748</v>
      </c>
      <c r="BZ63" s="25">
        <v>-6.4566929133858156E-2</v>
      </c>
      <c r="CA63" s="23">
        <v>5.4867350811381188</v>
      </c>
      <c r="CB63" s="23">
        <v>548.67350811381186</v>
      </c>
      <c r="CC63" s="23">
        <v>2.7393139914376685</v>
      </c>
      <c r="CD63" s="23">
        <v>7.1555148383187932</v>
      </c>
      <c r="CE63" s="23">
        <v>4.4032796875923887</v>
      </c>
      <c r="CF63" s="23">
        <v>1.5658723021582732</v>
      </c>
      <c r="CG63" s="23">
        <f t="shared" si="7"/>
        <v>0.44844305028348769</v>
      </c>
      <c r="CH63" s="26">
        <v>23.4</v>
      </c>
      <c r="CI63" s="26">
        <v>17.75</v>
      </c>
      <c r="CJ63" s="26">
        <v>1.3692158574101427</v>
      </c>
      <c r="CK63" s="26">
        <v>1.249198357391113</v>
      </c>
      <c r="CL63" s="26">
        <v>0.31830985915492949</v>
      </c>
      <c r="CM63" s="27">
        <v>25.275999999999993</v>
      </c>
      <c r="CN63" s="27">
        <v>6.7666408261623831E-2</v>
      </c>
      <c r="CO63" s="27">
        <v>14.393934426229498</v>
      </c>
      <c r="CP63" s="27">
        <v>9.2697401180433139E-2</v>
      </c>
      <c r="CQ63" s="27">
        <v>94.493822393822356</v>
      </c>
      <c r="CR63" s="27">
        <v>7.2398848134946573E-3</v>
      </c>
      <c r="CS63" s="27">
        <v>1.0720384615384604</v>
      </c>
      <c r="CT63" s="27">
        <v>1.0575095785440605</v>
      </c>
      <c r="CU63" s="27">
        <v>1.37387720065881E-2</v>
      </c>
      <c r="CV63" s="27">
        <v>1.268846153846154</v>
      </c>
      <c r="CW63" s="27">
        <v>2.1034089675745258</v>
      </c>
      <c r="CX63" s="28">
        <v>0.92</v>
      </c>
      <c r="CY63" s="28">
        <v>0.92</v>
      </c>
      <c r="CZ63" s="29">
        <v>29.99596154</v>
      </c>
      <c r="DA63" s="27">
        <v>0.13600952487112158</v>
      </c>
      <c r="DB63" s="27">
        <v>1.9709466682529033</v>
      </c>
      <c r="DC63" s="27">
        <v>3.3676575479931978</v>
      </c>
      <c r="DD63" s="27">
        <v>1</v>
      </c>
      <c r="DE63" s="27">
        <v>1.2</v>
      </c>
      <c r="DF63" s="27">
        <v>101.1</v>
      </c>
      <c r="DG63" s="28">
        <v>4.6161101260264257</v>
      </c>
      <c r="DH63" s="27">
        <v>1.0118</v>
      </c>
      <c r="DI63" s="27">
        <v>4.3</v>
      </c>
      <c r="DJ63" s="27">
        <v>1.5</v>
      </c>
      <c r="DK63" s="27">
        <v>2.7</v>
      </c>
      <c r="DL63" s="27">
        <v>1.6688062333233E-2</v>
      </c>
      <c r="DM63" s="27">
        <v>0.77139999999999997</v>
      </c>
      <c r="DN63" s="28">
        <v>0.69699999999999995</v>
      </c>
      <c r="DO63" s="28">
        <v>-2.8165086447295033E-2</v>
      </c>
      <c r="DP63" s="28">
        <f>(DM63-DM62)/DM62</f>
        <v>3.2525766296345855E-2</v>
      </c>
      <c r="DQ63" s="27">
        <v>0.10270000000000001</v>
      </c>
      <c r="DR63" s="27">
        <v>2.4180879115385762E-2</v>
      </c>
      <c r="DS63" s="27">
        <v>2.0079372103467861E-2</v>
      </c>
      <c r="DT63" s="27">
        <v>3.4239891893164551E-2</v>
      </c>
      <c r="DU63" s="30">
        <v>8.9420310000000001</v>
      </c>
      <c r="DV63">
        <v>2.2000000000000002</v>
      </c>
      <c r="DW63">
        <v>2.4</v>
      </c>
      <c r="DX63">
        <v>102.1</v>
      </c>
      <c r="DY63">
        <v>102.1</v>
      </c>
      <c r="DZ63">
        <v>0.9</v>
      </c>
      <c r="EA63">
        <v>0.7</v>
      </c>
      <c r="EB63">
        <v>1.494866</v>
      </c>
    </row>
    <row r="64" spans="1:132" ht="18">
      <c r="A64" s="14" t="s">
        <v>146</v>
      </c>
      <c r="B64" s="14">
        <v>11</v>
      </c>
      <c r="C64" s="14" t="s">
        <v>147</v>
      </c>
      <c r="D64" s="14" t="s">
        <v>148</v>
      </c>
      <c r="E64" s="14" t="s">
        <v>143</v>
      </c>
      <c r="F64" s="15">
        <v>6139</v>
      </c>
      <c r="G64" s="15">
        <v>3.7880976333802971</v>
      </c>
      <c r="H64" s="15">
        <v>2918</v>
      </c>
      <c r="I64" s="15">
        <v>0</v>
      </c>
      <c r="J64" s="15">
        <v>3221</v>
      </c>
      <c r="K64" s="16">
        <v>1</v>
      </c>
      <c r="L64" s="17">
        <v>0.17991852524838076</v>
      </c>
      <c r="M64" s="18">
        <v>220</v>
      </c>
      <c r="N64" s="18">
        <v>153</v>
      </c>
      <c r="O64" s="18">
        <v>0.89682539682539686</v>
      </c>
      <c r="P64" s="18">
        <v>3</v>
      </c>
      <c r="Q64" s="18">
        <f t="shared" si="23"/>
        <v>3.3333333333333335</v>
      </c>
      <c r="R64" s="18">
        <v>220</v>
      </c>
      <c r="S64" s="18">
        <v>5</v>
      </c>
      <c r="T64" s="19">
        <v>20847</v>
      </c>
      <c r="U64" s="19">
        <v>4.3190435663991131</v>
      </c>
      <c r="V64" s="20">
        <v>153726</v>
      </c>
      <c r="W64" s="20">
        <v>5.1867473268464259</v>
      </c>
      <c r="X64" s="20">
        <v>0.35906467443223888</v>
      </c>
      <c r="Y64" s="20">
        <v>0.36757412680000001</v>
      </c>
      <c r="Z64" s="20">
        <f t="shared" si="3"/>
        <v>-0.43465506579366947</v>
      </c>
      <c r="AA64" s="20">
        <v>0.27047731289999999</v>
      </c>
      <c r="AB64" s="20">
        <v>459</v>
      </c>
      <c r="AC64" s="20">
        <v>6967</v>
      </c>
      <c r="AE64" s="21"/>
      <c r="AF64" s="21"/>
      <c r="AG64" s="22">
        <v>0</v>
      </c>
      <c r="AH64" s="22">
        <v>0</v>
      </c>
      <c r="AI64" s="22">
        <v>1.6498684640000001</v>
      </c>
      <c r="AJ64" s="23">
        <v>428129</v>
      </c>
      <c r="AK64" s="23">
        <f t="shared" si="10"/>
        <v>5.6315746464594199</v>
      </c>
      <c r="AL64" s="24">
        <v>0.37554042399999998</v>
      </c>
      <c r="AM64" s="22">
        <f>9332+12625</f>
        <v>21957</v>
      </c>
      <c r="AN64" s="22">
        <f t="shared" si="19"/>
        <v>0.64350400046891942</v>
      </c>
      <c r="AO64" s="23">
        <v>2.9867416054186482E-2</v>
      </c>
      <c r="AP64" s="33">
        <v>1.6723691999999998E-2</v>
      </c>
      <c r="AQ64" s="23">
        <v>0.22333216055667346</v>
      </c>
      <c r="AR64" s="23">
        <v>34121</v>
      </c>
      <c r="AS64" s="23">
        <v>4.5330217507521624</v>
      </c>
      <c r="AT64" s="23">
        <v>4.5844216929611097</v>
      </c>
      <c r="AU64" s="22">
        <v>0.88800000000000001</v>
      </c>
      <c r="AV64" s="22">
        <v>0.3959223939</v>
      </c>
      <c r="AW64" s="22">
        <v>20.068999999999999</v>
      </c>
      <c r="AX64" s="22">
        <v>14.363</v>
      </c>
      <c r="AY64" s="22">
        <v>1</v>
      </c>
      <c r="AZ64" s="24">
        <v>55512</v>
      </c>
      <c r="BA64" s="24">
        <f t="shared" si="5"/>
        <v>4.7443868744822257</v>
      </c>
      <c r="BB64" s="24">
        <v>31863</v>
      </c>
      <c r="BC64" s="24">
        <f t="shared" si="6"/>
        <v>4.5032866635589146</v>
      </c>
      <c r="BD64" s="24">
        <v>23649</v>
      </c>
      <c r="BE64" s="23">
        <v>1658</v>
      </c>
      <c r="BF64" s="23">
        <f t="shared" si="24"/>
        <v>247.5</v>
      </c>
      <c r="BG64" s="23">
        <v>0.42562338779019776</v>
      </c>
      <c r="BH64" s="23">
        <v>4.8591776325430089E-2</v>
      </c>
      <c r="BI64" s="23">
        <v>3.0280149968756508E-2</v>
      </c>
      <c r="BJ64" s="23">
        <v>2.3813670025824761E-2</v>
      </c>
      <c r="BK64" s="23">
        <v>0.60474027954180476</v>
      </c>
      <c r="BL64" s="23">
        <v>1266</v>
      </c>
      <c r="BM64" s="22">
        <v>-203</v>
      </c>
      <c r="BN64" s="22">
        <f t="shared" si="25"/>
        <v>1287</v>
      </c>
      <c r="BO64" s="22" t="e">
        <v>#NUM!</v>
      </c>
      <c r="BP64" s="22">
        <v>-3.6568669837152329E-3</v>
      </c>
      <c r="BQ64" s="22">
        <v>2.4268759827771606E-2</v>
      </c>
      <c r="BR64" s="22">
        <v>3.7246836716300774E-3</v>
      </c>
      <c r="BS64" s="22">
        <v>-1697</v>
      </c>
      <c r="BT64" s="22">
        <v>3.2296818423176759</v>
      </c>
      <c r="BU64" s="22">
        <v>4.9734767445268308E-2</v>
      </c>
      <c r="BV64" s="23">
        <v>498</v>
      </c>
      <c r="BW64" s="22">
        <v>4816</v>
      </c>
      <c r="BX64" s="22">
        <v>16.600000000000001</v>
      </c>
      <c r="BY64" s="22">
        <v>1.2201080880400552</v>
      </c>
      <c r="BZ64" s="25">
        <v>0.39730639730639733</v>
      </c>
      <c r="CA64" s="23">
        <v>4.4032796875923887</v>
      </c>
      <c r="CB64" s="23">
        <v>440.3279687592389</v>
      </c>
      <c r="CC64" s="23">
        <v>2.6437762718597724</v>
      </c>
      <c r="CD64" s="23">
        <v>5.4867350811381188</v>
      </c>
      <c r="CE64" s="23">
        <v>6.2008976810073415</v>
      </c>
      <c r="CF64" s="23">
        <v>1.4135021097046414</v>
      </c>
      <c r="CG64" s="23">
        <f t="shared" si="7"/>
        <v>0.34607039068993528</v>
      </c>
      <c r="CH64" s="26">
        <v>18.02</v>
      </c>
      <c r="CI64" s="26">
        <v>23.4</v>
      </c>
      <c r="CJ64" s="26">
        <v>1.2557547866430441</v>
      </c>
      <c r="CK64" s="26">
        <v>1.3692158574101427</v>
      </c>
      <c r="CL64" s="26">
        <v>-0.22991452991452987</v>
      </c>
      <c r="CM64" s="27">
        <v>18.608429118773955</v>
      </c>
      <c r="CN64" s="27">
        <v>-0.26379058716672099</v>
      </c>
      <c r="CO64" s="27">
        <v>10.244782608695646</v>
      </c>
      <c r="CP64" s="27">
        <v>-0.28825696259759365</v>
      </c>
      <c r="CQ64" s="27">
        <v>71.254230769230816</v>
      </c>
      <c r="CR64" s="27">
        <v>-0.24593768180670883</v>
      </c>
      <c r="CS64" s="27">
        <v>0.83494252873563157</v>
      </c>
      <c r="CT64" s="27">
        <v>1.0720384615384604</v>
      </c>
      <c r="CU64" s="27">
        <v>-0.22116364413136569</v>
      </c>
      <c r="CV64" s="27">
        <v>0.95088122605364045</v>
      </c>
      <c r="CW64" s="27">
        <v>1.9781262728880398</v>
      </c>
      <c r="CX64" s="28">
        <v>0.54</v>
      </c>
      <c r="CY64" s="28">
        <v>0.92</v>
      </c>
      <c r="CZ64" s="29">
        <v>24.56237548</v>
      </c>
      <c r="DA64" s="27">
        <v>-0.18114392008251654</v>
      </c>
      <c r="DB64" s="27">
        <v>1.7682050254071211</v>
      </c>
      <c r="DC64" s="27">
        <v>1.9709466682529033</v>
      </c>
      <c r="DD64" s="27">
        <v>1</v>
      </c>
      <c r="DE64" s="27">
        <v>0.9</v>
      </c>
      <c r="DF64" s="27">
        <v>102.7</v>
      </c>
      <c r="DG64" s="28">
        <v>4.6318121169345128</v>
      </c>
      <c r="DH64" s="27">
        <v>1.0250900000000001</v>
      </c>
      <c r="DI64" s="27">
        <v>4.3</v>
      </c>
      <c r="DJ64" s="27">
        <v>0</v>
      </c>
      <c r="DK64" s="27">
        <v>1.9</v>
      </c>
      <c r="DL64" s="27">
        <v>1.6829215601661535E-2</v>
      </c>
      <c r="DM64" s="27">
        <v>0.75800000000000001</v>
      </c>
      <c r="DN64" s="28">
        <v>0.74839999999999995</v>
      </c>
      <c r="DO64" s="28">
        <v>7.3744619799139169E-2</v>
      </c>
      <c r="DP64" s="28">
        <f t="shared" si="26"/>
        <v>-1.7371013741249636E-2</v>
      </c>
      <c r="DQ64" s="27">
        <v>8.4699999999999998E-2</v>
      </c>
      <c r="DR64" s="27">
        <v>2.0079372103467861E-2</v>
      </c>
      <c r="DS64" s="27">
        <v>1.50675227484701E-2</v>
      </c>
      <c r="DT64" s="27">
        <v>2.4180879115385762E-2</v>
      </c>
      <c r="DU64" s="30">
        <v>8.0652849999999994</v>
      </c>
      <c r="DV64">
        <v>0.9</v>
      </c>
      <c r="DW64">
        <v>1.4</v>
      </c>
      <c r="DX64">
        <v>103.9</v>
      </c>
      <c r="DY64">
        <v>103.8</v>
      </c>
      <c r="DZ64">
        <v>0.1</v>
      </c>
      <c r="EA64">
        <v>0</v>
      </c>
      <c r="EB64">
        <v>1.826854</v>
      </c>
    </row>
    <row r="65" spans="1:132" ht="18">
      <c r="A65" s="14" t="s">
        <v>146</v>
      </c>
      <c r="B65" s="14">
        <v>12</v>
      </c>
      <c r="C65" s="14" t="s">
        <v>147</v>
      </c>
      <c r="D65" s="14" t="s">
        <v>148</v>
      </c>
      <c r="E65" s="14" t="s">
        <v>143</v>
      </c>
      <c r="F65" s="15">
        <v>4443</v>
      </c>
      <c r="G65" s="15">
        <v>3.6476763132408707</v>
      </c>
      <c r="H65" s="15">
        <v>2206</v>
      </c>
      <c r="I65" s="15">
        <v>0</v>
      </c>
      <c r="J65" s="15">
        <v>2237</v>
      </c>
      <c r="K65" s="16">
        <v>1</v>
      </c>
      <c r="L65" s="17">
        <v>0.12529257494148502</v>
      </c>
      <c r="M65" s="18">
        <v>220</v>
      </c>
      <c r="N65" s="18">
        <v>153</v>
      </c>
      <c r="O65" s="18">
        <v>0.89682539682539686</v>
      </c>
      <c r="P65" s="18">
        <v>3</v>
      </c>
      <c r="Q65" s="18">
        <f t="shared" si="23"/>
        <v>3.3333333333333335</v>
      </c>
      <c r="R65" s="18">
        <v>220</v>
      </c>
      <c r="S65" s="18">
        <v>5</v>
      </c>
      <c r="T65" s="19">
        <v>20296</v>
      </c>
      <c r="U65" s="19">
        <v>4.3074104542136746</v>
      </c>
      <c r="V65" s="20">
        <v>161114</v>
      </c>
      <c r="W65" s="20">
        <v>5.2071332800751637</v>
      </c>
      <c r="X65" s="20">
        <v>0.37039915029404058</v>
      </c>
      <c r="Y65" s="20">
        <v>0.3514899071</v>
      </c>
      <c r="Z65" s="20">
        <f t="shared" si="3"/>
        <v>-0.45408714106722431</v>
      </c>
      <c r="AA65" s="20">
        <v>0.22438465939999999</v>
      </c>
      <c r="AB65" s="20">
        <v>392</v>
      </c>
      <c r="AC65" s="20">
        <v>6582</v>
      </c>
      <c r="AE65" s="21"/>
      <c r="AF65" s="21"/>
      <c r="AG65" s="22">
        <v>0</v>
      </c>
      <c r="AH65" s="22">
        <v>0</v>
      </c>
      <c r="AI65" s="22">
        <v>3.1930436520000001</v>
      </c>
      <c r="AJ65" s="23">
        <v>434974</v>
      </c>
      <c r="AK65" s="23">
        <f t="shared" si="10"/>
        <v>5.6384632983477525</v>
      </c>
      <c r="AL65" s="24">
        <v>0.36960955699999998</v>
      </c>
      <c r="AM65" s="22">
        <f>11575+13852</f>
        <v>25427</v>
      </c>
      <c r="AN65" s="22">
        <f t="shared" si="19"/>
        <v>0.71704125659174867</v>
      </c>
      <c r="AO65" s="23">
        <v>3.8079108391608392E-2</v>
      </c>
      <c r="AP65" s="33">
        <v>7.2558978999999996E-2</v>
      </c>
      <c r="AQ65" s="23">
        <v>0.86069116300207027</v>
      </c>
      <c r="AR65" s="23">
        <v>35461</v>
      </c>
      <c r="AS65" s="23">
        <v>4.5497509785395263</v>
      </c>
      <c r="AT65" s="23">
        <v>4.5330217507521624</v>
      </c>
      <c r="AU65" s="22">
        <v>1.2270000000000001</v>
      </c>
      <c r="AV65" s="22">
        <v>0.59338249949999999</v>
      </c>
      <c r="AW65" s="22">
        <v>32.039000000000001</v>
      </c>
      <c r="AX65" s="22">
        <v>20.068999999999999</v>
      </c>
      <c r="AY65" s="22">
        <v>1</v>
      </c>
      <c r="AZ65" s="24">
        <v>54912</v>
      </c>
      <c r="BA65" s="24">
        <f t="shared" si="5"/>
        <v>4.7396672618325928</v>
      </c>
      <c r="BB65" s="24">
        <v>31038</v>
      </c>
      <c r="BC65" s="24">
        <f t="shared" si="6"/>
        <v>4.4918937287927259</v>
      </c>
      <c r="BD65" s="24">
        <v>23874</v>
      </c>
      <c r="BE65" s="23">
        <v>2091</v>
      </c>
      <c r="BF65" s="23">
        <f t="shared" si="24"/>
        <v>216.5</v>
      </c>
      <c r="BG65" s="23">
        <v>0.26115802171290714</v>
      </c>
      <c r="BH65" s="23">
        <v>5.896618820676236E-2</v>
      </c>
      <c r="BI65" s="23">
        <v>4.8591776325430089E-2</v>
      </c>
      <c r="BJ65" s="23">
        <v>2.3813670025824761E-2</v>
      </c>
      <c r="BK65" s="23">
        <v>0.21350139191974574</v>
      </c>
      <c r="BL65" s="23">
        <v>1780</v>
      </c>
      <c r="BM65" s="22">
        <v>2989</v>
      </c>
      <c r="BN65" s="22">
        <f t="shared" si="25"/>
        <v>1596</v>
      </c>
      <c r="BO65" s="22">
        <v>3.4755259150392805</v>
      </c>
      <c r="BP65" s="22">
        <v>5.4432546620046623E-2</v>
      </c>
      <c r="BQ65" s="22">
        <v>2.904470680188093E-2</v>
      </c>
      <c r="BR65" s="22">
        <v>2.4268759827771606E-2</v>
      </c>
      <c r="BS65" s="22">
        <v>-1765</v>
      </c>
      <c r="BT65" s="22">
        <v>3.2467447097238415</v>
      </c>
      <c r="BU65" s="22">
        <v>4.9772990045401991E-2</v>
      </c>
      <c r="BV65" s="23">
        <v>1875</v>
      </c>
      <c r="BW65" s="22">
        <v>5954</v>
      </c>
      <c r="BX65" s="22">
        <v>26.5</v>
      </c>
      <c r="BY65" s="22">
        <v>1.4232458739368079</v>
      </c>
      <c r="BZ65" s="25">
        <v>0.59638554216867457</v>
      </c>
      <c r="CA65" s="23">
        <v>6.2008976810073415</v>
      </c>
      <c r="CB65" s="23">
        <v>620.0897681007342</v>
      </c>
      <c r="CC65" s="23">
        <v>2.7924545652543009</v>
      </c>
      <c r="CD65" s="23">
        <v>4.4032796875923887</v>
      </c>
      <c r="CE65" s="23">
        <v>3.2328964967901963</v>
      </c>
      <c r="CF65" s="23">
        <v>1.6306004266991769</v>
      </c>
      <c r="CG65" s="23">
        <f t="shared" si="7"/>
        <v>0.48894830692895053</v>
      </c>
      <c r="CH65" s="26">
        <v>13.72</v>
      </c>
      <c r="CI65" s="26">
        <v>18.02</v>
      </c>
      <c r="CJ65" s="26">
        <v>1.1373541113707328</v>
      </c>
      <c r="CK65" s="26">
        <v>1.2557547866430441</v>
      </c>
      <c r="CL65" s="26">
        <v>-0.23862375138734734</v>
      </c>
      <c r="CM65" s="27">
        <v>14.834099616858232</v>
      </c>
      <c r="CN65" s="27">
        <v>-0.20282902322516949</v>
      </c>
      <c r="CO65" s="27">
        <v>8.3248809523809495</v>
      </c>
      <c r="CP65" s="27">
        <v>-0.18740286930882333</v>
      </c>
      <c r="CQ65" s="27">
        <v>73.031538461538446</v>
      </c>
      <c r="CR65" s="27">
        <v>2.494318825872599E-2</v>
      </c>
      <c r="CS65" s="27">
        <v>0.8023754789272034</v>
      </c>
      <c r="CT65" s="27">
        <v>0.83494252873563157</v>
      </c>
      <c r="CU65" s="27">
        <v>-3.9005139500733109E-2</v>
      </c>
      <c r="CV65" s="27">
        <v>0.96896551724137914</v>
      </c>
      <c r="CW65" s="27">
        <v>1.9863083220061237</v>
      </c>
      <c r="CX65" s="28">
        <v>0.62</v>
      </c>
      <c r="CY65" s="28">
        <v>0.54</v>
      </c>
      <c r="CZ65" s="29">
        <v>18.565019159999999</v>
      </c>
      <c r="DA65" s="27">
        <v>-0.24416841623821645</v>
      </c>
      <c r="DB65" s="27">
        <v>1.1698744465812936</v>
      </c>
      <c r="DC65" s="27">
        <v>1.7682050254071211</v>
      </c>
      <c r="DD65" s="27">
        <v>1</v>
      </c>
      <c r="DE65" s="27">
        <v>1.4</v>
      </c>
      <c r="DF65" s="27">
        <v>104.8</v>
      </c>
      <c r="DG65" s="28">
        <v>4.6520537718869415</v>
      </c>
      <c r="DH65" s="27">
        <v>1.03712</v>
      </c>
      <c r="DI65" s="27">
        <v>4.3</v>
      </c>
      <c r="DJ65" s="27">
        <v>-0.5</v>
      </c>
      <c r="DK65" s="27">
        <v>1.3</v>
      </c>
      <c r="DL65" s="27">
        <v>1.2152522197973097E-2</v>
      </c>
      <c r="DM65" s="27">
        <v>0.72770000000000001</v>
      </c>
      <c r="DN65" s="28">
        <v>0.77380000000000004</v>
      </c>
      <c r="DO65" s="28">
        <v>3.3939070016034328E-2</v>
      </c>
      <c r="DP65" s="28">
        <f>(DM65-DM64)/DM64</f>
        <v>-3.9973614775725586E-2</v>
      </c>
      <c r="DQ65" s="27">
        <v>5.8499999999999996E-2</v>
      </c>
      <c r="DR65" s="27">
        <v>1.50675227484701E-2</v>
      </c>
      <c r="DS65" s="27">
        <v>3.1335239457349999E-2</v>
      </c>
      <c r="DT65" s="27">
        <v>2.0079372103467861E-2</v>
      </c>
      <c r="DU65" s="30">
        <v>7.3719619999999999</v>
      </c>
      <c r="DV65">
        <v>1.5</v>
      </c>
      <c r="DW65">
        <v>2.1</v>
      </c>
      <c r="DX65">
        <v>105.4</v>
      </c>
      <c r="DY65">
        <v>105.7</v>
      </c>
      <c r="DZ65">
        <v>0.2</v>
      </c>
      <c r="EA65">
        <v>0.8</v>
      </c>
      <c r="EB65">
        <v>1.343728</v>
      </c>
    </row>
    <row r="66" spans="1:132" ht="18">
      <c r="A66" s="14" t="s">
        <v>146</v>
      </c>
      <c r="B66" s="14">
        <v>13</v>
      </c>
      <c r="C66" s="14" t="s">
        <v>147</v>
      </c>
      <c r="D66" s="14" t="s">
        <v>148</v>
      </c>
      <c r="E66" s="14" t="s">
        <v>143</v>
      </c>
      <c r="F66" s="15">
        <v>5119</v>
      </c>
      <c r="G66" s="15">
        <v>3.7091851295502454</v>
      </c>
      <c r="H66" s="15">
        <v>2413</v>
      </c>
      <c r="I66" s="15">
        <v>0</v>
      </c>
      <c r="J66" s="15">
        <v>2706</v>
      </c>
      <c r="K66" s="16">
        <v>1</v>
      </c>
      <c r="L66" s="17">
        <v>0.13842991968414506</v>
      </c>
      <c r="M66" s="18">
        <v>220</v>
      </c>
      <c r="N66" s="18">
        <v>153</v>
      </c>
      <c r="O66" s="18">
        <v>0.89682539682539686</v>
      </c>
      <c r="P66" s="18">
        <v>3</v>
      </c>
      <c r="Q66" s="18">
        <f t="shared" si="23"/>
        <v>3.3333333333333335</v>
      </c>
      <c r="R66" s="18">
        <v>220</v>
      </c>
      <c r="S66" s="18">
        <v>5</v>
      </c>
      <c r="T66" s="19">
        <v>20762</v>
      </c>
      <c r="U66" s="19">
        <v>4.3172691867066204</v>
      </c>
      <c r="V66" s="20">
        <v>164298</v>
      </c>
      <c r="W66" s="20">
        <v>5.2156322767993313</v>
      </c>
      <c r="X66" s="20">
        <v>0.37022064788275377</v>
      </c>
      <c r="Y66" s="20">
        <v>0.36572564210000003</v>
      </c>
      <c r="Z66" s="20">
        <f t="shared" si="3"/>
        <v>-0.43684458893149719</v>
      </c>
      <c r="AA66" s="20">
        <v>0.2579957356</v>
      </c>
      <c r="AB66" s="20">
        <v>484</v>
      </c>
      <c r="AC66" s="20">
        <v>7177</v>
      </c>
      <c r="AD66" s="31"/>
      <c r="AE66" s="21"/>
      <c r="AF66" s="21"/>
      <c r="AG66" s="22">
        <v>0</v>
      </c>
      <c r="AH66" s="22">
        <v>0</v>
      </c>
      <c r="AI66" s="22">
        <v>3.4194154490000002</v>
      </c>
      <c r="AJ66" s="23">
        <v>443784</v>
      </c>
      <c r="AK66" s="23">
        <f t="shared" si="10"/>
        <v>5.6471716403093017</v>
      </c>
      <c r="AL66" s="24">
        <v>0.36662546400000001</v>
      </c>
      <c r="AM66" s="22">
        <f>13804+13595</f>
        <v>27399</v>
      </c>
      <c r="AN66" s="22">
        <f>AM66/AR66</f>
        <v>0.74093404364639393</v>
      </c>
      <c r="AO66" s="23">
        <v>3.657072223203249E-2</v>
      </c>
      <c r="AP66" s="33">
        <v>7.1126720000000004E-2</v>
      </c>
      <c r="AQ66" s="23">
        <v>0.8520327817226625</v>
      </c>
      <c r="AR66" s="23">
        <v>36979</v>
      </c>
      <c r="AS66" s="23">
        <v>4.5679551626275341</v>
      </c>
      <c r="AT66" s="23">
        <v>4.5497509785395263</v>
      </c>
      <c r="AU66" s="22">
        <v>1.262</v>
      </c>
      <c r="AV66" s="22">
        <v>0.53956158659999998</v>
      </c>
      <c r="AW66" s="22">
        <v>32.758000000000003</v>
      </c>
      <c r="AX66" s="22">
        <v>32.039000000000001</v>
      </c>
      <c r="AY66" s="22">
        <v>1</v>
      </c>
      <c r="AZ66" s="24">
        <v>56630</v>
      </c>
      <c r="BA66" s="24">
        <f t="shared" si="5"/>
        <v>4.7530465616265287</v>
      </c>
      <c r="BB66" s="24">
        <v>32042</v>
      </c>
      <c r="BC66" s="24">
        <f t="shared" si="6"/>
        <v>4.5057196160843418</v>
      </c>
      <c r="BD66" s="24">
        <v>24588</v>
      </c>
      <c r="BE66" s="23">
        <v>2071</v>
      </c>
      <c r="BF66" s="23">
        <f t="shared" si="24"/>
        <v>10</v>
      </c>
      <c r="BG66" s="23">
        <v>-9.5648015303682454E-3</v>
      </c>
      <c r="BH66" s="23">
        <v>5.6004759458070798E-2</v>
      </c>
      <c r="BI66" s="23">
        <v>5.896618820676236E-2</v>
      </c>
      <c r="BJ66" s="23">
        <v>2.3813670025824761E-2</v>
      </c>
      <c r="BK66" s="23">
        <v>-5.0222489171378039E-2</v>
      </c>
      <c r="BL66" s="23">
        <v>2211</v>
      </c>
      <c r="BM66" s="22">
        <v>3040</v>
      </c>
      <c r="BN66" s="22">
        <f>STDEVP(BM65:BM66)</f>
        <v>25.5</v>
      </c>
      <c r="BO66" s="22">
        <v>3.4828735836087539</v>
      </c>
      <c r="BP66" s="22">
        <v>5.3681794102066041E-2</v>
      </c>
      <c r="BQ66" s="22">
        <v>3.753762589902912E-4</v>
      </c>
      <c r="BR66" s="22">
        <v>2.904470680188093E-2</v>
      </c>
      <c r="BS66" s="22">
        <v>-1087</v>
      </c>
      <c r="BT66" s="22">
        <v>3.0362295440862948</v>
      </c>
      <c r="BU66" s="22">
        <v>2.9395062062251547E-2</v>
      </c>
      <c r="BV66" s="23">
        <v>3435</v>
      </c>
      <c r="BW66" s="22">
        <v>5169</v>
      </c>
      <c r="BX66" s="22">
        <v>27.05</v>
      </c>
      <c r="BY66" s="22">
        <v>1.4321672694425882</v>
      </c>
      <c r="BZ66" s="25">
        <v>2.0754716981132102E-2</v>
      </c>
      <c r="CA66" s="23">
        <v>3.2328964967901963</v>
      </c>
      <c r="CB66" s="23">
        <v>323.28964967901965</v>
      </c>
      <c r="CC66" s="23">
        <v>2.5095918006237943</v>
      </c>
      <c r="CD66" s="23">
        <v>6.2008976810073415</v>
      </c>
      <c r="CE66" s="23">
        <v>4.1302630899999997</v>
      </c>
      <c r="CF66" s="23">
        <v>1.3211136890951276</v>
      </c>
      <c r="CG66" s="23">
        <f t="shared" si="7"/>
        <v>0.27847508474018939</v>
      </c>
      <c r="CH66" s="26">
        <v>19.2</v>
      </c>
      <c r="CI66" s="26">
        <v>13.72</v>
      </c>
      <c r="CJ66" s="26">
        <v>1.2833012287035497</v>
      </c>
      <c r="CK66" s="26">
        <v>1.1373541113707328</v>
      </c>
      <c r="CL66" s="26">
        <v>0.39941690962099113</v>
      </c>
      <c r="CM66" s="27">
        <v>14.883180076628348</v>
      </c>
      <c r="CN66" s="27">
        <v>3.3086241186042575E-3</v>
      </c>
      <c r="CO66" s="27">
        <v>6.9159523809523806</v>
      </c>
      <c r="CP66" s="27">
        <v>-0.16924308941926786</v>
      </c>
      <c r="CQ66" s="27">
        <v>64.583076923076902</v>
      </c>
      <c r="CR66" s="27">
        <v>-0.11568237115682381</v>
      </c>
      <c r="CS66" s="27">
        <v>0.66574712643678124</v>
      </c>
      <c r="CT66" s="27">
        <v>0.8023754789272034</v>
      </c>
      <c r="CU66" s="27">
        <v>-0.1702798204564997</v>
      </c>
      <c r="CV66" s="27">
        <v>0.67685823754789287</v>
      </c>
      <c r="CW66" s="27">
        <v>1.8304977187626064</v>
      </c>
      <c r="CX66" s="28">
        <v>1.33</v>
      </c>
      <c r="CY66" s="28">
        <v>0.62</v>
      </c>
      <c r="CZ66" s="29">
        <v>18.278045980000002</v>
      </c>
      <c r="DA66" s="27">
        <v>-1.5457736807420394E-2</v>
      </c>
      <c r="DC66" s="27">
        <v>1.1698744465812936</v>
      </c>
      <c r="DD66" s="27">
        <v>1</v>
      </c>
      <c r="DE66" s="27">
        <v>1</v>
      </c>
      <c r="DF66" s="27">
        <v>106.6</v>
      </c>
      <c r="DG66" s="28">
        <v>4.6690835117317437</v>
      </c>
      <c r="DH66" s="27">
        <v>1.04853</v>
      </c>
      <c r="DI66" s="27">
        <v>4.3</v>
      </c>
      <c r="DJ66" s="27">
        <v>-0.6</v>
      </c>
      <c r="DK66" s="27">
        <v>1</v>
      </c>
      <c r="DL66" s="27">
        <v>1.7108786898118553E-2</v>
      </c>
      <c r="DM66" s="27">
        <v>0.8266</v>
      </c>
      <c r="DN66" s="28">
        <v>0.75860000000000005</v>
      </c>
      <c r="DO66" s="28">
        <v>-1.9643318686999211E-2</v>
      </c>
      <c r="DP66" s="28">
        <f t="shared" si="26"/>
        <v>0.13590765425312626</v>
      </c>
      <c r="DQ66" s="27">
        <v>0.10860000000000003</v>
      </c>
      <c r="DR66" s="27">
        <v>3.1335239457349999E-2</v>
      </c>
      <c r="DS66" s="27">
        <v>2.7611694356583942E-2</v>
      </c>
      <c r="DT66" s="27">
        <v>1.50675227484701E-2</v>
      </c>
      <c r="DU66" s="30">
        <v>6.1553740000000001</v>
      </c>
      <c r="DV66">
        <v>1.6</v>
      </c>
      <c r="DW66">
        <v>2.2999999999999998</v>
      </c>
      <c r="DX66">
        <v>107</v>
      </c>
      <c r="DY66">
        <v>107.5</v>
      </c>
      <c r="DZ66">
        <v>0.4</v>
      </c>
      <c r="EA66">
        <v>1.1000000000000001</v>
      </c>
      <c r="EB66">
        <v>1.4054869999999999</v>
      </c>
    </row>
    <row r="67" spans="1:132" ht="18">
      <c r="A67" s="14" t="s">
        <v>149</v>
      </c>
      <c r="B67" s="14">
        <v>1</v>
      </c>
      <c r="C67" s="14" t="s">
        <v>150</v>
      </c>
      <c r="D67" s="14" t="s">
        <v>151</v>
      </c>
      <c r="E67" s="14" t="s">
        <v>143</v>
      </c>
      <c r="F67" s="15">
        <v>22593.4</v>
      </c>
      <c r="G67" s="15">
        <v>4.3539815912624915</v>
      </c>
      <c r="H67" s="15">
        <v>13092.7</v>
      </c>
      <c r="I67" s="15">
        <v>313.2</v>
      </c>
      <c r="J67" s="16">
        <v>9188.4</v>
      </c>
      <c r="K67" s="16">
        <v>1</v>
      </c>
      <c r="L67" s="17">
        <v>0.19982664838809536</v>
      </c>
      <c r="M67" s="18">
        <v>30</v>
      </c>
      <c r="N67" s="18">
        <v>39</v>
      </c>
      <c r="O67" s="18">
        <v>0.76824724423312085</v>
      </c>
      <c r="P67" s="18">
        <v>1</v>
      </c>
      <c r="Q67" s="18">
        <v>1</v>
      </c>
      <c r="R67" s="18">
        <v>30</v>
      </c>
      <c r="S67" s="18">
        <v>2</v>
      </c>
      <c r="T67" s="19">
        <v>6555</v>
      </c>
      <c r="U67" s="19">
        <v>3.8165726960261033</v>
      </c>
      <c r="V67" s="20"/>
      <c r="W67" s="20"/>
      <c r="X67" s="20"/>
      <c r="Y67" s="20">
        <v>0.12953392559999999</v>
      </c>
      <c r="Z67" s="20">
        <f t="shared" ref="Z67:Z130" si="27">LOG(Y67)</f>
        <v>-0.88761647273106259</v>
      </c>
      <c r="AA67" s="20"/>
      <c r="AB67" s="20"/>
      <c r="AC67" s="20">
        <v>5439</v>
      </c>
      <c r="AD67" s="31"/>
      <c r="AE67" s="21"/>
      <c r="AF67" s="21"/>
      <c r="AG67" s="22">
        <v>3.3608985981515059E-3</v>
      </c>
      <c r="AH67" s="22">
        <v>380</v>
      </c>
      <c r="AI67" s="22">
        <v>0.9766536965</v>
      </c>
      <c r="AJ67" s="23">
        <v>107856</v>
      </c>
      <c r="AK67" s="23">
        <f t="shared" si="10"/>
        <v>5.032844309794716</v>
      </c>
      <c r="AL67" s="24">
        <v>0.17688011000000001</v>
      </c>
      <c r="AM67" s="22">
        <v>87412</v>
      </c>
      <c r="AN67" s="22">
        <f t="shared" ref="AN67:AN78" si="28">AM67/AR67</f>
        <v>0.77311281121478792</v>
      </c>
      <c r="AO67" s="23">
        <v>7.4934563803664422E-2</v>
      </c>
      <c r="AP67" s="23">
        <v>2.4613295157506057E-2</v>
      </c>
      <c r="AQ67" s="23">
        <v>0.39116975969727291</v>
      </c>
      <c r="AR67" s="23">
        <v>113065</v>
      </c>
      <c r="AS67" s="23">
        <v>5.0533281870713402</v>
      </c>
      <c r="AT67" s="23">
        <f>LOG(99046)</f>
        <v>4.995836941126405</v>
      </c>
      <c r="AU67" s="22">
        <v>0.96699999999999997</v>
      </c>
      <c r="AV67" s="22">
        <v>0.8701945525</v>
      </c>
      <c r="AW67" s="22">
        <v>25.1</v>
      </c>
      <c r="AX67" s="22"/>
      <c r="AY67" s="22">
        <v>1</v>
      </c>
      <c r="AZ67" s="24">
        <v>37059</v>
      </c>
      <c r="BA67" s="24">
        <f t="shared" ref="BA67:BA130" si="29">LOG(AZ67)</f>
        <v>4.5688936961393454</v>
      </c>
      <c r="BB67" s="24">
        <v>26769</v>
      </c>
      <c r="BC67" s="24">
        <f t="shared" ref="BC67:BC130" si="30">LOG(BB67)</f>
        <v>4.4276321477056593</v>
      </c>
      <c r="BD67" s="24">
        <v>10290</v>
      </c>
      <c r="BE67" s="23">
        <v>2777</v>
      </c>
      <c r="BF67" s="23">
        <v>364.5</v>
      </c>
      <c r="BG67" s="23">
        <v>0.35595703125</v>
      </c>
      <c r="BH67" s="23">
        <v>2.45610931764914E-2</v>
      </c>
      <c r="BI67" s="23">
        <v>2.0677261070613653E-2</v>
      </c>
      <c r="BJ67" s="23">
        <v>2.4907930974080256E-2</v>
      </c>
      <c r="BK67" s="23">
        <v>0.1878310716595544</v>
      </c>
      <c r="BL67" s="23">
        <v>2048</v>
      </c>
      <c r="BM67" s="22">
        <v>3690</v>
      </c>
      <c r="BN67" s="22"/>
      <c r="BO67" s="22">
        <v>3.5670263661590602</v>
      </c>
      <c r="BP67" s="22">
        <v>9.9570954424026553E-2</v>
      </c>
      <c r="BQ67" s="22">
        <v>3.3510873878010466E-2</v>
      </c>
      <c r="BR67" s="22"/>
      <c r="BS67" s="22">
        <v>-10514</v>
      </c>
      <c r="BT67" s="22">
        <v>4.0217679726824063</v>
      </c>
      <c r="BU67" s="22">
        <v>9.2990757528855078E-2</v>
      </c>
      <c r="BV67" s="23">
        <v>6069</v>
      </c>
      <c r="BW67" s="22">
        <v>22364</v>
      </c>
      <c r="BX67" s="22">
        <v>38.450000000000003</v>
      </c>
      <c r="BY67" s="22">
        <v>1.58489634413745</v>
      </c>
      <c r="BZ67" s="25">
        <v>-0.33911997249914055</v>
      </c>
      <c r="CA67" s="23">
        <v>2.9544256569681925E-2</v>
      </c>
      <c r="CB67" s="23">
        <v>2.9544256569681924</v>
      </c>
      <c r="CC67" s="23">
        <v>0.47047306618073892</v>
      </c>
      <c r="CD67" s="23">
        <v>9.8959300000000007E-3</v>
      </c>
      <c r="CE67" s="23">
        <v>3.4701428118871877E-2</v>
      </c>
      <c r="CF67" s="23">
        <v>1.5840197693574958</v>
      </c>
      <c r="CG67" s="23">
        <f t="shared" ref="CG67:CG130" si="31">LN(CF67)</f>
        <v>0.45996577396933608</v>
      </c>
      <c r="CH67" s="26">
        <v>28.62</v>
      </c>
      <c r="CI67" s="26">
        <v>23.8</v>
      </c>
      <c r="CJ67" s="26">
        <v>1.4566696294237576</v>
      </c>
      <c r="CK67" s="26">
        <v>1.3765769570565121</v>
      </c>
      <c r="CL67" s="26">
        <v>0.20252100840336135</v>
      </c>
      <c r="CM67" s="27">
        <v>28.164291187739472</v>
      </c>
      <c r="CN67" s="27">
        <v>5.6821432935815153E-2</v>
      </c>
      <c r="CQ67" s="27">
        <v>125.09884615384618</v>
      </c>
      <c r="CR67" s="27">
        <v>0.13726223776223803</v>
      </c>
      <c r="CS67" s="27">
        <v>0.92386973180076593</v>
      </c>
      <c r="CT67" s="27">
        <v>1.0645593900000001</v>
      </c>
      <c r="CU67" s="27">
        <v>-0.12842478132003218</v>
      </c>
      <c r="CX67" s="28">
        <v>0.76</v>
      </c>
      <c r="CY67" s="28">
        <v>0.82</v>
      </c>
      <c r="CZ67" s="29">
        <v>37.275402300000003</v>
      </c>
      <c r="DA67" s="27">
        <v>0.32652677224199295</v>
      </c>
      <c r="DB67" s="27">
        <v>2.5105365885464708</v>
      </c>
      <c r="DC67" s="27">
        <v>1.25643310503606</v>
      </c>
      <c r="DD67" s="27">
        <v>1</v>
      </c>
      <c r="DE67" s="27">
        <v>1.5</v>
      </c>
      <c r="DF67" s="27">
        <v>92.1</v>
      </c>
      <c r="DG67" s="28">
        <v>4.5228749432612609</v>
      </c>
      <c r="DH67" s="27">
        <v>0.91827000000000003</v>
      </c>
      <c r="DI67" s="27">
        <v>4.8</v>
      </c>
      <c r="DJ67" s="27">
        <v>3.4</v>
      </c>
      <c r="DK67" s="27">
        <v>2.2999999999999998</v>
      </c>
      <c r="DL67" s="27">
        <v>1.1731637610823707E-2</v>
      </c>
      <c r="DM67" s="27">
        <v>0.95289999999999997</v>
      </c>
      <c r="DN67" s="28">
        <v>1.1605000000000001</v>
      </c>
      <c r="DO67" s="28">
        <v>9.3264248704663183E-2</v>
      </c>
      <c r="DP67" s="28">
        <f>(DM67-1.1242)/1.1242</f>
        <v>-0.15237502223803603</v>
      </c>
      <c r="DQ67" s="27">
        <v>0.20879999999999999</v>
      </c>
      <c r="DR67" s="27">
        <v>6.0688564775993471E-2</v>
      </c>
      <c r="DS67" s="27">
        <v>3.9305854754660308E-2</v>
      </c>
      <c r="DT67" s="27">
        <v>3.268886E-2</v>
      </c>
      <c r="DU67" s="30">
        <v>5.7817160000000003</v>
      </c>
      <c r="DV67">
        <v>0.9</v>
      </c>
      <c r="DW67">
        <v>2.8</v>
      </c>
      <c r="DX67">
        <v>84</v>
      </c>
      <c r="DY67">
        <v>80.900000000000006</v>
      </c>
      <c r="DZ67">
        <v>2.2000000000000002</v>
      </c>
      <c r="EA67">
        <v>3</v>
      </c>
      <c r="EB67">
        <v>1.701892</v>
      </c>
    </row>
    <row r="68" spans="1:132" ht="18">
      <c r="A68" s="14" t="s">
        <v>149</v>
      </c>
      <c r="B68" s="14">
        <v>2</v>
      </c>
      <c r="C68" s="14" t="s">
        <v>150</v>
      </c>
      <c r="D68" s="14" t="s">
        <v>151</v>
      </c>
      <c r="E68" s="14" t="s">
        <v>143</v>
      </c>
      <c r="F68" s="15">
        <v>19103.5</v>
      </c>
      <c r="G68" s="15">
        <v>4.2811129427154677</v>
      </c>
      <c r="H68" s="15">
        <v>6939.3</v>
      </c>
      <c r="I68" s="15">
        <v>442.9</v>
      </c>
      <c r="J68" s="16">
        <v>11721.6</v>
      </c>
      <c r="K68" s="16">
        <v>1</v>
      </c>
      <c r="L68" s="17">
        <v>0.17079570853822082</v>
      </c>
      <c r="M68" s="18">
        <v>30</v>
      </c>
      <c r="N68" s="18">
        <v>39</v>
      </c>
      <c r="O68" s="18">
        <v>0.76824724423312085</v>
      </c>
      <c r="P68" s="18">
        <v>1</v>
      </c>
      <c r="Q68" s="18">
        <v>1</v>
      </c>
      <c r="R68" s="18">
        <v>30</v>
      </c>
      <c r="S68" s="18">
        <v>2</v>
      </c>
      <c r="T68" s="19">
        <v>3188</v>
      </c>
      <c r="U68" s="19">
        <v>3.5035183127240748</v>
      </c>
      <c r="V68" s="20">
        <v>7460</v>
      </c>
      <c r="W68" s="20">
        <v>3.8727388274726686</v>
      </c>
      <c r="X68" s="20">
        <v>0.11117403356084767</v>
      </c>
      <c r="Y68" s="20">
        <v>9.6969413739999996E-2</v>
      </c>
      <c r="Z68" s="20">
        <f t="shared" si="27"/>
        <v>-1.0133652300498712</v>
      </c>
      <c r="AA68" s="20"/>
      <c r="AB68" s="20">
        <v>443</v>
      </c>
      <c r="AC68" s="20">
        <v>4150</v>
      </c>
      <c r="AE68" s="21"/>
      <c r="AF68" s="21"/>
      <c r="AG68" s="22">
        <v>6.168976307554761E-4</v>
      </c>
      <c r="AH68" s="22">
        <v>69</v>
      </c>
      <c r="AI68" s="22">
        <v>1.137583893</v>
      </c>
      <c r="AJ68" s="23">
        <v>67102</v>
      </c>
      <c r="AK68" s="23">
        <f t="shared" si="10"/>
        <v>4.8267354646700262</v>
      </c>
      <c r="AL68" s="24">
        <v>7.4939469999999994E-2</v>
      </c>
      <c r="AM68" s="22">
        <v>82076</v>
      </c>
      <c r="AN68" s="22">
        <f t="shared" si="28"/>
        <v>0.73380420205632546</v>
      </c>
      <c r="AO68" s="23">
        <v>0.10923579605556992</v>
      </c>
      <c r="AP68" s="33">
        <v>2.4508009999999998E-3</v>
      </c>
      <c r="AQ68" s="23">
        <v>-0.61069195113492891</v>
      </c>
      <c r="AR68" s="23">
        <v>111850</v>
      </c>
      <c r="AS68" s="23">
        <v>5.0486359884326486</v>
      </c>
      <c r="AT68" s="23">
        <v>5.0533281870713402</v>
      </c>
      <c r="AU68" s="22">
        <v>0.73099999999999998</v>
      </c>
      <c r="AV68" s="22">
        <v>0.65875838929999997</v>
      </c>
      <c r="AW68" s="22">
        <v>33.9</v>
      </c>
      <c r="AX68" s="22">
        <v>25.1</v>
      </c>
      <c r="AY68" s="22">
        <v>1</v>
      </c>
      <c r="AZ68" s="24">
        <v>42541</v>
      </c>
      <c r="BA68" s="24">
        <f t="shared" si="29"/>
        <v>4.6288076945318588</v>
      </c>
      <c r="BB68" s="24">
        <v>32780</v>
      </c>
      <c r="BC68" s="24">
        <f t="shared" si="30"/>
        <v>4.5156089492344806</v>
      </c>
      <c r="BD68" s="24">
        <v>9761</v>
      </c>
      <c r="BE68" s="23">
        <v>4647</v>
      </c>
      <c r="BF68" s="23">
        <f>STDEVP(BE67:BE68)</f>
        <v>935</v>
      </c>
      <c r="BG68" s="23">
        <v>0.67338854879366228</v>
      </c>
      <c r="BH68" s="23">
        <v>4.1546714349575325E-2</v>
      </c>
      <c r="BI68" s="23">
        <v>2.45610931764914E-2</v>
      </c>
      <c r="BJ68" s="23">
        <v>2.4907930974080256E-2</v>
      </c>
      <c r="BK68" s="23">
        <v>0.69156617138449183</v>
      </c>
      <c r="BL68" s="23">
        <v>2777</v>
      </c>
      <c r="BM68" s="22">
        <v>5538</v>
      </c>
      <c r="BN68" s="22">
        <f>STDEVP(BM67:BM68)</f>
        <v>924</v>
      </c>
      <c r="BO68" s="22">
        <v>3.7433529514095558</v>
      </c>
      <c r="BP68" s="22">
        <v>0.13018029665499165</v>
      </c>
      <c r="BQ68" s="22">
        <v>1.5304671115482548E-2</v>
      </c>
      <c r="BR68" s="22">
        <v>3.3510873878010466E-2</v>
      </c>
      <c r="BS68" s="22">
        <v>39</v>
      </c>
      <c r="BT68" s="22"/>
      <c r="BU68" s="22">
        <v>-3.4868126955744298E-4</v>
      </c>
      <c r="BV68" s="23">
        <v>3506</v>
      </c>
      <c r="BW68" s="23">
        <v>19631</v>
      </c>
      <c r="BX68" s="22">
        <v>51.74</v>
      </c>
      <c r="BY68" s="22">
        <v>1.7138264243805246</v>
      </c>
      <c r="BZ68" s="25">
        <v>0.34564369310793236</v>
      </c>
      <c r="CA68" s="23">
        <v>3.4701428118871877E-2</v>
      </c>
      <c r="CB68" s="23">
        <v>3.4701428118871878</v>
      </c>
      <c r="CC68" s="23">
        <v>0.54034734831775799</v>
      </c>
      <c r="CD68" s="23">
        <v>2.9544256569681925E-2</v>
      </c>
      <c r="CE68" s="23">
        <v>2.8415681358366092E-2</v>
      </c>
      <c r="CF68" s="23">
        <v>1.5325987144168962</v>
      </c>
      <c r="CG68" s="23">
        <f t="shared" si="31"/>
        <v>0.4269648007288746</v>
      </c>
      <c r="CH68" s="26">
        <v>18.309999999999999</v>
      </c>
      <c r="CI68" s="26">
        <v>28.62</v>
      </c>
      <c r="CJ68" s="26">
        <v>1.2626883443016965</v>
      </c>
      <c r="CK68" s="26">
        <v>1.4566696294237576</v>
      </c>
      <c r="CL68" s="26">
        <v>-0.36023759608665273</v>
      </c>
      <c r="CM68" s="27">
        <v>22.615402298850572</v>
      </c>
      <c r="CN68" s="27">
        <v>-0.19701858825065877</v>
      </c>
      <c r="CQ68" s="27">
        <v>115.89653846153851</v>
      </c>
      <c r="CR68" s="27">
        <v>-7.3560292322686169E-2</v>
      </c>
      <c r="CS68" s="27">
        <v>0.92888888888888932</v>
      </c>
      <c r="CT68" s="27">
        <v>0.92386973180076604</v>
      </c>
      <c r="CU68" s="27">
        <v>5.4327541160378483E-3</v>
      </c>
      <c r="CX68" s="28">
        <v>0.66</v>
      </c>
      <c r="CY68" s="28">
        <v>0.76</v>
      </c>
      <c r="CZ68" s="29">
        <v>31.998965519999999</v>
      </c>
      <c r="DA68" s="27">
        <v>-0.14155277889515908</v>
      </c>
      <c r="DB68" s="27">
        <v>2.6347679627304119</v>
      </c>
      <c r="DC68" s="27">
        <v>2.5105365885464708</v>
      </c>
      <c r="DD68" s="27">
        <v>1</v>
      </c>
      <c r="DE68" s="27">
        <v>1.7</v>
      </c>
      <c r="DF68" s="27">
        <v>93.2</v>
      </c>
      <c r="DG68" s="28">
        <v>4.5347477216915459</v>
      </c>
      <c r="DH68" s="27">
        <v>0.92432999999999998</v>
      </c>
      <c r="DI68" s="27">
        <v>4.9000000000000004</v>
      </c>
      <c r="DJ68" s="27">
        <v>2.8</v>
      </c>
      <c r="DK68" s="27">
        <v>2</v>
      </c>
      <c r="DL68" s="27">
        <v>1.6216043547496031E-2</v>
      </c>
      <c r="DM68" s="27">
        <v>0.79400000000000004</v>
      </c>
      <c r="DN68" s="28">
        <v>1.1231</v>
      </c>
      <c r="DO68" s="28">
        <v>-3.2227488151658851E-2</v>
      </c>
      <c r="DP68" s="28">
        <f>(DM68-DM67)/DM67</f>
        <v>-0.16675411900514214</v>
      </c>
      <c r="DQ68" s="27">
        <v>0.17130000000000001</v>
      </c>
      <c r="DR68" s="27">
        <v>3.9305854754660308E-2</v>
      </c>
      <c r="DS68" s="27">
        <v>2.6867542601332471E-2</v>
      </c>
      <c r="DT68" s="27">
        <v>6.0688564775993471E-2</v>
      </c>
      <c r="DU68" s="30">
        <v>5.9865389999999996</v>
      </c>
      <c r="DV68">
        <v>0.9</v>
      </c>
      <c r="DW68">
        <v>2.8</v>
      </c>
      <c r="DX68">
        <v>85.7</v>
      </c>
      <c r="DY68">
        <v>82.9</v>
      </c>
      <c r="DZ68">
        <v>2.4</v>
      </c>
      <c r="EA68">
        <v>2</v>
      </c>
      <c r="EB68">
        <v>1.4781599999999999</v>
      </c>
    </row>
    <row r="69" spans="1:132" ht="18">
      <c r="A69" s="14" t="s">
        <v>149</v>
      </c>
      <c r="B69" s="14">
        <v>3</v>
      </c>
      <c r="C69" s="14" t="s">
        <v>150</v>
      </c>
      <c r="D69" s="14" t="s">
        <v>151</v>
      </c>
      <c r="E69" s="14" t="s">
        <v>143</v>
      </c>
      <c r="F69" s="15">
        <v>29993</v>
      </c>
      <c r="G69" s="15">
        <v>4.4770199075162518</v>
      </c>
      <c r="H69" s="15">
        <v>9566.7999999999993</v>
      </c>
      <c r="I69" s="15">
        <v>1204.9000000000001</v>
      </c>
      <c r="J69" s="16">
        <v>19221.3</v>
      </c>
      <c r="K69" s="16">
        <v>1</v>
      </c>
      <c r="L69" s="17">
        <v>0.26295348143991865</v>
      </c>
      <c r="M69" s="18">
        <v>30</v>
      </c>
      <c r="N69" s="18">
        <v>39</v>
      </c>
      <c r="O69" s="18">
        <v>0.76824724423312085</v>
      </c>
      <c r="P69" s="18">
        <v>1</v>
      </c>
      <c r="Q69" s="18">
        <v>1</v>
      </c>
      <c r="R69" s="18">
        <v>30</v>
      </c>
      <c r="S69" s="18">
        <v>2</v>
      </c>
      <c r="T69" s="19">
        <v>2671</v>
      </c>
      <c r="U69" s="19">
        <v>3.426673888021373</v>
      </c>
      <c r="V69" s="20">
        <v>6986</v>
      </c>
      <c r="W69" s="20">
        <v>3.8442285813016279</v>
      </c>
      <c r="X69" s="20">
        <v>0.10021517716253048</v>
      </c>
      <c r="Y69" s="20">
        <v>8.6816794069999995E-2</v>
      </c>
      <c r="Z69" s="20">
        <f t="shared" si="27"/>
        <v>-1.0613962556248873</v>
      </c>
      <c r="AA69" s="20">
        <v>6.5889628919999998E-2</v>
      </c>
      <c r="AB69" s="20">
        <v>277</v>
      </c>
      <c r="AC69" s="20">
        <v>3782</v>
      </c>
      <c r="AE69" s="21"/>
      <c r="AF69" s="21"/>
      <c r="AG69" s="22">
        <v>4.8219389454857883E-4</v>
      </c>
      <c r="AH69" s="22">
        <v>55</v>
      </c>
      <c r="AI69" s="22">
        <v>1.31547619</v>
      </c>
      <c r="AJ69" s="23">
        <v>69710</v>
      </c>
      <c r="AK69" s="23">
        <f t="shared" si="10"/>
        <v>4.8432950827365069</v>
      </c>
      <c r="AL69" s="24">
        <v>5.9693821000000001E-2</v>
      </c>
      <c r="AM69" s="22">
        <v>80502</v>
      </c>
      <c r="AN69" s="22">
        <f t="shared" si="28"/>
        <v>0.70577405270817628</v>
      </c>
      <c r="AO69" s="23">
        <v>9.6971728684769248E-2</v>
      </c>
      <c r="AP69" s="33">
        <v>6.11234E-3</v>
      </c>
      <c r="AQ69" s="23">
        <v>-0.21379249605262821</v>
      </c>
      <c r="AR69" s="23">
        <v>114062</v>
      </c>
      <c r="AS69" s="23">
        <v>5.0571409823757634</v>
      </c>
      <c r="AT69" s="23">
        <v>5.0486359884326486</v>
      </c>
      <c r="AU69" s="22">
        <v>0.60399999999999998</v>
      </c>
      <c r="AV69" s="22">
        <v>0.54562500000000003</v>
      </c>
      <c r="AW69" s="22">
        <v>44.2</v>
      </c>
      <c r="AX69" s="22">
        <v>33.9</v>
      </c>
      <c r="AY69" s="22">
        <v>1</v>
      </c>
      <c r="AZ69" s="24">
        <v>44745</v>
      </c>
      <c r="BA69" s="24">
        <f t="shared" si="29"/>
        <v>4.6507445124177442</v>
      </c>
      <c r="BB69" s="24">
        <v>33353</v>
      </c>
      <c r="BC69" s="24">
        <f t="shared" si="30"/>
        <v>4.523134903465424</v>
      </c>
      <c r="BD69" s="24">
        <v>11392</v>
      </c>
      <c r="BE69" s="23">
        <v>4339</v>
      </c>
      <c r="BF69" s="23">
        <f t="shared" ref="BF69:BF79" si="32">STDEVP(BE68:BE69)</f>
        <v>154</v>
      </c>
      <c r="BG69" s="23">
        <v>-6.6279319991392291E-2</v>
      </c>
      <c r="BH69" s="23">
        <v>3.8040714699023336E-2</v>
      </c>
      <c r="BI69" s="23">
        <v>4.1546714349575325E-2</v>
      </c>
      <c r="BJ69" s="23">
        <v>2.4907930974080256E-2</v>
      </c>
      <c r="BK69" s="23">
        <v>-8.4386929398373153E-2</v>
      </c>
      <c r="BL69" s="23">
        <v>4647</v>
      </c>
      <c r="BM69" s="22">
        <v>5972</v>
      </c>
      <c r="BN69" s="22">
        <f t="shared" ref="BN69:BN78" si="33">STDEVP(BM68:BM69)</f>
        <v>217</v>
      </c>
      <c r="BO69" s="22">
        <v>3.7761197990529878</v>
      </c>
      <c r="BP69" s="22">
        <v>0.1334674265281037</v>
      </c>
      <c r="BQ69" s="22">
        <v>1.6435649365560273E-3</v>
      </c>
      <c r="BR69" s="22">
        <v>1.5304671115482548E-2</v>
      </c>
      <c r="BS69" s="22">
        <v>-596</v>
      </c>
      <c r="BT69" s="22">
        <v>2.7752462597402365</v>
      </c>
      <c r="BU69" s="22">
        <v>5.225228384562782E-3</v>
      </c>
      <c r="BV69" s="23">
        <v>5057</v>
      </c>
      <c r="BW69" s="22">
        <v>18333</v>
      </c>
      <c r="BX69" s="22">
        <v>67.06</v>
      </c>
      <c r="BY69" s="22">
        <v>1.8264635490928012</v>
      </c>
      <c r="BZ69" s="25">
        <v>0.29609586393505993</v>
      </c>
      <c r="CA69" s="23">
        <v>2.8415681358366092E-2</v>
      </c>
      <c r="CB69" s="23">
        <v>2.8415681358366092</v>
      </c>
      <c r="CC69" s="23">
        <v>0.45355807412809596</v>
      </c>
      <c r="CD69" s="23">
        <v>3.4701428118871877E-2</v>
      </c>
      <c r="CE69" s="23">
        <v>1.8091860620457454E-2</v>
      </c>
      <c r="CF69" s="23">
        <v>1.3819935691318326</v>
      </c>
      <c r="CG69" s="23">
        <f t="shared" si="31"/>
        <v>0.3235270720291758</v>
      </c>
      <c r="CH69" s="26">
        <v>13.29</v>
      </c>
      <c r="CI69" s="26">
        <v>18.309999999999999</v>
      </c>
      <c r="CJ69" s="26">
        <v>1.1235249809427319</v>
      </c>
      <c r="CK69" s="26">
        <v>1.2626883443016965</v>
      </c>
      <c r="CL69" s="26">
        <v>-0.27416712179137082</v>
      </c>
      <c r="CM69" s="27">
        <v>16.030268199233717</v>
      </c>
      <c r="CN69" s="27">
        <v>-0.29117917128326054</v>
      </c>
      <c r="CQ69" s="27">
        <v>102.09153846153851</v>
      </c>
      <c r="CR69" s="27">
        <v>-0.11911486040268011</v>
      </c>
      <c r="CS69" s="27">
        <v>0.9859003831417622</v>
      </c>
      <c r="CT69" s="27">
        <v>0.92888888888888899</v>
      </c>
      <c r="CU69" s="27">
        <v>6.1376010559312889E-2</v>
      </c>
      <c r="CV69" s="27">
        <v>1.140877862595419</v>
      </c>
      <c r="CW69" s="27">
        <v>2.0572391532349976</v>
      </c>
      <c r="CX69" s="28">
        <v>1.07</v>
      </c>
      <c r="CY69" s="28">
        <v>0.66</v>
      </c>
      <c r="CZ69" s="29">
        <v>18.886297710000001</v>
      </c>
      <c r="DA69" s="27">
        <v>-0.40978411635852152</v>
      </c>
      <c r="DB69" s="27">
        <v>266.87708664986224</v>
      </c>
      <c r="DC69" s="27">
        <v>2.6347679627304119</v>
      </c>
      <c r="DD69" s="27">
        <v>1</v>
      </c>
      <c r="DE69" s="27">
        <v>1.9</v>
      </c>
      <c r="DF69" s="27">
        <v>94.2</v>
      </c>
      <c r="DG69" s="28">
        <v>4.5454201815823172</v>
      </c>
      <c r="DH69" s="27">
        <v>0.93801999999999996</v>
      </c>
      <c r="DI69" s="27">
        <v>4.9000000000000004</v>
      </c>
      <c r="DJ69" s="27">
        <v>2.9</v>
      </c>
      <c r="DK69" s="27">
        <v>2.1</v>
      </c>
      <c r="DL69" s="27">
        <v>1.3035848693861207E-2</v>
      </c>
      <c r="DM69" s="27">
        <v>0.73780000000000001</v>
      </c>
      <c r="DN69" s="28">
        <v>0.95269999999999999</v>
      </c>
      <c r="DO69" s="28">
        <v>-0.15172290980322323</v>
      </c>
      <c r="DP69" s="28">
        <f t="shared" ref="DP69:DP79" si="34">(DM69-DM68)/DM68</f>
        <v>-7.0780856423173832E-2</v>
      </c>
      <c r="DQ69" s="27">
        <v>0.11370000000000002</v>
      </c>
      <c r="DR69" s="27">
        <v>2.6867542601332471E-2</v>
      </c>
      <c r="DS69" s="27">
        <v>3.2347817198611614E-2</v>
      </c>
      <c r="DT69" s="27">
        <v>3.9305854754660308E-2</v>
      </c>
      <c r="DU69" s="30">
        <v>5.5230399999999999</v>
      </c>
      <c r="DV69">
        <v>0.3</v>
      </c>
      <c r="DW69">
        <v>2.6</v>
      </c>
      <c r="DX69">
        <v>88</v>
      </c>
      <c r="DY69">
        <v>85.1</v>
      </c>
      <c r="DZ69">
        <v>2</v>
      </c>
      <c r="EA69">
        <v>1.5</v>
      </c>
      <c r="EB69">
        <v>1.913224</v>
      </c>
    </row>
    <row r="70" spans="1:132" ht="18">
      <c r="A70" s="14" t="s">
        <v>149</v>
      </c>
      <c r="B70" s="14">
        <v>4</v>
      </c>
      <c r="C70" s="14" t="s">
        <v>150</v>
      </c>
      <c r="D70" s="14" t="s">
        <v>151</v>
      </c>
      <c r="E70" s="14" t="s">
        <v>143</v>
      </c>
      <c r="F70" s="15">
        <v>29487.5</v>
      </c>
      <c r="G70" s="15">
        <v>4.4696379538936517</v>
      </c>
      <c r="H70" s="15">
        <v>12422.5</v>
      </c>
      <c r="I70" s="15">
        <v>367.3</v>
      </c>
      <c r="J70" s="16">
        <v>16697.7</v>
      </c>
      <c r="K70" s="16">
        <v>1</v>
      </c>
      <c r="L70" s="17">
        <v>0.2329885747696781</v>
      </c>
      <c r="M70" s="18">
        <v>30</v>
      </c>
      <c r="N70" s="18">
        <v>39</v>
      </c>
      <c r="O70" s="18">
        <v>0.76824724423312085</v>
      </c>
      <c r="P70" s="18">
        <v>1</v>
      </c>
      <c r="Q70" s="18">
        <v>1</v>
      </c>
      <c r="R70" s="18">
        <v>30</v>
      </c>
      <c r="S70" s="18">
        <v>2</v>
      </c>
      <c r="T70" s="19">
        <v>2069</v>
      </c>
      <c r="U70" s="19">
        <v>3.3157604906657347</v>
      </c>
      <c r="V70" s="20">
        <v>3027</v>
      </c>
      <c r="W70" s="20">
        <v>3.4810124209565729</v>
      </c>
      <c r="X70" s="20">
        <v>3.8041975618951868E-2</v>
      </c>
      <c r="Y70" s="20">
        <v>0.1005493309</v>
      </c>
      <c r="Z70" s="20">
        <f t="shared" si="27"/>
        <v>-0.99762081504640077</v>
      </c>
      <c r="AA70" s="20">
        <v>7.2639999999999996E-2</v>
      </c>
      <c r="AB70" s="20">
        <v>227</v>
      </c>
      <c r="AC70" s="20">
        <v>4155</v>
      </c>
      <c r="AE70" s="21"/>
      <c r="AF70" s="21"/>
      <c r="AG70" s="22">
        <v>1.8963037878668164E-4</v>
      </c>
      <c r="AH70" s="22">
        <v>24</v>
      </c>
      <c r="AI70" s="22">
        <v>1.294382022</v>
      </c>
      <c r="AJ70" s="23">
        <v>79570</v>
      </c>
      <c r="AK70" s="23">
        <f t="shared" si="10"/>
        <v>4.9007493580610797</v>
      </c>
      <c r="AL70" s="24">
        <v>4.0084469999999997E-2</v>
      </c>
      <c r="AM70" s="22">
        <f>52251+25093</f>
        <v>77344</v>
      </c>
      <c r="AN70" s="22">
        <f t="shared" si="28"/>
        <v>0.61111550070321263</v>
      </c>
      <c r="AO70" s="23">
        <v>0.14344389336639801</v>
      </c>
      <c r="AP70" s="33">
        <v>1.818225E-2</v>
      </c>
      <c r="AQ70" s="23">
        <v>0.25964762487721865</v>
      </c>
      <c r="AR70" s="23">
        <v>126562</v>
      </c>
      <c r="AS70" s="23">
        <v>5.1023033291600868</v>
      </c>
      <c r="AT70" s="23">
        <v>5.0571409823757634</v>
      </c>
      <c r="AU70" s="22">
        <v>0.32300000000000001</v>
      </c>
      <c r="AV70" s="22">
        <v>0.322741573</v>
      </c>
      <c r="AW70" s="22">
        <v>57.6</v>
      </c>
      <c r="AX70" s="22">
        <v>44.2</v>
      </c>
      <c r="AY70" s="22">
        <v>2</v>
      </c>
      <c r="AZ70" s="24">
        <v>51616</v>
      </c>
      <c r="BA70" s="24">
        <f t="shared" si="29"/>
        <v>4.7127843457088678</v>
      </c>
      <c r="BB70" s="24">
        <v>40603</v>
      </c>
      <c r="BC70" s="24">
        <f t="shared" si="30"/>
        <v>4.6085581231168984</v>
      </c>
      <c r="BD70" s="24">
        <v>11013</v>
      </c>
      <c r="BE70" s="23">
        <v>7404</v>
      </c>
      <c r="BF70" s="23">
        <f t="shared" si="32"/>
        <v>1532.5</v>
      </c>
      <c r="BG70" s="23">
        <v>0.70638395943765842</v>
      </c>
      <c r="BH70" s="23">
        <v>5.8500971855691281E-2</v>
      </c>
      <c r="BI70" s="23">
        <v>3.8040714699023336E-2</v>
      </c>
      <c r="BJ70" s="23">
        <v>2.4907930974080256E-2</v>
      </c>
      <c r="BK70" s="23">
        <v>0.5378515445503248</v>
      </c>
      <c r="BL70" s="23">
        <v>4339</v>
      </c>
      <c r="BM70" s="22">
        <v>6544</v>
      </c>
      <c r="BN70" s="22">
        <f t="shared" si="33"/>
        <v>286</v>
      </c>
      <c r="BO70" s="22">
        <v>3.8158432906632664</v>
      </c>
      <c r="BP70" s="22">
        <v>0.12678239305641661</v>
      </c>
      <c r="BQ70" s="22">
        <v>3.3425167358435426E-3</v>
      </c>
      <c r="BR70" s="22">
        <v>1.6435649365560273E-3</v>
      </c>
      <c r="BS70" s="22">
        <v>442</v>
      </c>
      <c r="BT70" s="22"/>
      <c r="BU70" s="22">
        <v>-3.4923594759880532E-3</v>
      </c>
      <c r="BV70" s="23">
        <v>6016</v>
      </c>
      <c r="BW70" s="22">
        <v>14362</v>
      </c>
      <c r="BX70" s="22">
        <v>87.39</v>
      </c>
      <c r="BY70" s="22">
        <v>1.9414617393473297</v>
      </c>
      <c r="BZ70" s="25">
        <v>0.30316134804652545</v>
      </c>
      <c r="CA70" s="23">
        <v>1.8091860620457454E-2</v>
      </c>
      <c r="CB70" s="23">
        <v>1.8091860620457454</v>
      </c>
      <c r="CC70" s="23">
        <v>0.25748323328572131</v>
      </c>
      <c r="CD70" s="23">
        <v>2.8415681358366092E-2</v>
      </c>
      <c r="CE70" s="23">
        <v>1.6391908430144698E-2</v>
      </c>
      <c r="CF70" s="23">
        <v>1.3980392156862746</v>
      </c>
      <c r="CG70" s="23">
        <f t="shared" si="31"/>
        <v>0.3350706946959246</v>
      </c>
      <c r="CH70" s="26">
        <v>12.07</v>
      </c>
      <c r="CI70" s="26">
        <v>13.29</v>
      </c>
      <c r="CJ70" s="26">
        <v>1.0817072700973491</v>
      </c>
      <c r="CK70" s="26">
        <v>1.1235249809427319</v>
      </c>
      <c r="CL70" s="26">
        <v>-9.1798344620014974E-2</v>
      </c>
      <c r="CM70" s="27">
        <v>13.248115384615385</v>
      </c>
      <c r="CN70" s="27">
        <v>-0.17355622376619531</v>
      </c>
      <c r="CQ70" s="27">
        <v>81.715444015443992</v>
      </c>
      <c r="CR70" s="27">
        <v>-0.1995865157206041</v>
      </c>
      <c r="CS70" s="27">
        <v>0.91873076923076902</v>
      </c>
      <c r="CT70" s="27">
        <v>0.9859003831417622</v>
      </c>
      <c r="CU70" s="27">
        <v>-6.8130223965370842E-2</v>
      </c>
      <c r="CV70" s="27">
        <v>1.0315769230769232</v>
      </c>
      <c r="CW70" s="27">
        <v>2.0135016181765906</v>
      </c>
      <c r="CX70" s="28">
        <v>0.94</v>
      </c>
      <c r="CY70" s="28">
        <v>1.07</v>
      </c>
      <c r="CZ70" s="29">
        <v>14.03142308</v>
      </c>
      <c r="DA70" s="27">
        <v>-0.25705803776615366</v>
      </c>
      <c r="DB70" s="27">
        <v>1.72976924253802</v>
      </c>
      <c r="DC70" s="27">
        <v>266.87708664986224</v>
      </c>
      <c r="DD70" s="27">
        <v>1</v>
      </c>
      <c r="DE70" s="27">
        <v>1.2</v>
      </c>
      <c r="DF70" s="27">
        <v>94.8</v>
      </c>
      <c r="DG70" s="28">
        <v>4.5517694092609764</v>
      </c>
      <c r="DH70" s="27">
        <v>0.94384000000000001</v>
      </c>
      <c r="DI70" s="27">
        <v>4.5</v>
      </c>
      <c r="DJ70" s="27">
        <v>2.7</v>
      </c>
      <c r="DK70" s="27">
        <v>1.5</v>
      </c>
      <c r="DL70" s="27">
        <v>8.4498661866614921E-3</v>
      </c>
      <c r="DM70" s="27">
        <v>0.84399999999999997</v>
      </c>
      <c r="DN70" s="28">
        <v>0.79300000000000004</v>
      </c>
      <c r="DO70" s="28">
        <v>-0.167628844337147</v>
      </c>
      <c r="DP70" s="28">
        <f t="shared" si="34"/>
        <v>0.14394144754676058</v>
      </c>
      <c r="DQ70" s="27">
        <v>0.11509999999999998</v>
      </c>
      <c r="DR70" s="27">
        <v>3.2347817198611614E-2</v>
      </c>
      <c r="DS70" s="27">
        <v>2.4490842135800685E-2</v>
      </c>
      <c r="DT70" s="27">
        <v>2.6867542601332471E-2</v>
      </c>
      <c r="DU70" s="30">
        <v>5.0767810000000004</v>
      </c>
      <c r="DV70">
        <v>-0.3</v>
      </c>
      <c r="DW70">
        <v>0.7</v>
      </c>
      <c r="DX70">
        <v>90.9</v>
      </c>
      <c r="DY70">
        <v>87.4</v>
      </c>
      <c r="DZ70">
        <v>1.6</v>
      </c>
      <c r="EA70">
        <v>1</v>
      </c>
      <c r="EB70">
        <v>2.1595819999999999</v>
      </c>
    </row>
    <row r="71" spans="1:132" ht="18">
      <c r="A71" s="14" t="s">
        <v>149</v>
      </c>
      <c r="B71" s="14">
        <v>5</v>
      </c>
      <c r="C71" s="14" t="s">
        <v>150</v>
      </c>
      <c r="D71" s="14" t="s">
        <v>151</v>
      </c>
      <c r="E71" s="14" t="s">
        <v>143</v>
      </c>
      <c r="F71" s="15">
        <v>30343.7</v>
      </c>
      <c r="G71" s="15">
        <v>4.4820685359632346</v>
      </c>
      <c r="H71" s="15">
        <v>4532.7</v>
      </c>
      <c r="I71" s="15">
        <v>0</v>
      </c>
      <c r="J71" s="16">
        <v>18821.2</v>
      </c>
      <c r="K71" s="16">
        <v>1</v>
      </c>
      <c r="L71" s="17">
        <v>0.23849110286720324</v>
      </c>
      <c r="M71" s="18">
        <v>30</v>
      </c>
      <c r="N71" s="18">
        <v>39</v>
      </c>
      <c r="O71" s="18">
        <v>0.76824724423312085</v>
      </c>
      <c r="P71" s="18">
        <v>1</v>
      </c>
      <c r="Q71" s="18">
        <v>1</v>
      </c>
      <c r="R71" s="18">
        <v>30</v>
      </c>
      <c r="S71" s="18">
        <v>2</v>
      </c>
      <c r="T71" s="19">
        <v>2531</v>
      </c>
      <c r="U71" s="19">
        <v>3.4032921451582543</v>
      </c>
      <c r="V71" s="20">
        <v>2913</v>
      </c>
      <c r="W71" s="20">
        <v>3.4643404846276673</v>
      </c>
      <c r="X71" s="20">
        <v>3.6136059147521458E-2</v>
      </c>
      <c r="Y71" s="20">
        <v>9.2924704999999996E-2</v>
      </c>
      <c r="Z71" s="20">
        <f t="shared" si="27"/>
        <v>-1.031868808947066</v>
      </c>
      <c r="AA71" s="20">
        <v>9.2023121390000004E-2</v>
      </c>
      <c r="AB71" s="20">
        <v>398</v>
      </c>
      <c r="AC71" s="20">
        <v>3969</v>
      </c>
      <c r="AE71" s="21"/>
      <c r="AF71" s="21"/>
      <c r="AG71" s="22">
        <v>2.1221076458752516E-4</v>
      </c>
      <c r="AH71" s="22">
        <v>27</v>
      </c>
      <c r="AI71" s="22">
        <v>1.414225941</v>
      </c>
      <c r="AJ71" s="23">
        <v>80612</v>
      </c>
      <c r="AK71" s="23">
        <f t="shared" si="10"/>
        <v>4.9063996962203014</v>
      </c>
      <c r="AL71" s="24">
        <v>3.9425518E-2</v>
      </c>
      <c r="AM71" s="22">
        <f>47274+27196</f>
        <v>74470</v>
      </c>
      <c r="AN71" s="22">
        <f t="shared" si="28"/>
        <v>0.58530872736418516</v>
      </c>
      <c r="AO71" s="23">
        <v>7.8773151393367297E-2</v>
      </c>
      <c r="AP71" s="33">
        <v>1.9736066E-2</v>
      </c>
      <c r="AQ71" s="23">
        <v>0.29526058882196532</v>
      </c>
      <c r="AR71" s="23">
        <v>127232</v>
      </c>
      <c r="AS71" s="23">
        <v>5.1045963540451815</v>
      </c>
      <c r="AT71" s="23">
        <v>5.1023033291600868</v>
      </c>
      <c r="AU71" s="22">
        <v>0.28000000000000003</v>
      </c>
      <c r="AV71" s="22">
        <v>0.28031380750000001</v>
      </c>
      <c r="AW71" s="22">
        <v>67.599999999999994</v>
      </c>
      <c r="AX71" s="22">
        <v>57.6</v>
      </c>
      <c r="AY71" s="22">
        <v>2</v>
      </c>
      <c r="AZ71" s="24">
        <v>64197</v>
      </c>
      <c r="BA71" s="24">
        <f t="shared" si="29"/>
        <v>4.8075147334600077</v>
      </c>
      <c r="BB71" s="24">
        <v>52304</v>
      </c>
      <c r="BC71" s="24">
        <f t="shared" si="30"/>
        <v>4.7185349032362938</v>
      </c>
      <c r="BD71" s="24">
        <v>11893</v>
      </c>
      <c r="BE71" s="23">
        <v>5057</v>
      </c>
      <c r="BF71" s="23">
        <f t="shared" si="32"/>
        <v>1173.5</v>
      </c>
      <c r="BG71" s="23">
        <v>-0.31699081577525662</v>
      </c>
      <c r="BH71" s="23">
        <v>3.9746290241448691E-2</v>
      </c>
      <c r="BI71" s="23">
        <v>5.8500971855691281E-2</v>
      </c>
      <c r="BJ71" s="23">
        <v>2.4907930974080256E-2</v>
      </c>
      <c r="BK71" s="23">
        <v>-0.32058752221255682</v>
      </c>
      <c r="BL71" s="23">
        <v>7404</v>
      </c>
      <c r="BM71" s="22">
        <v>7194</v>
      </c>
      <c r="BN71" s="22">
        <f t="shared" si="33"/>
        <v>325</v>
      </c>
      <c r="BO71" s="22">
        <v>3.8569704334824921</v>
      </c>
      <c r="BP71" s="22">
        <v>0.11206131127622786</v>
      </c>
      <c r="BQ71" s="22">
        <v>7.3605408900943789E-3</v>
      </c>
      <c r="BR71" s="22">
        <v>3.3425167358435426E-3</v>
      </c>
      <c r="BS71" s="22">
        <v>-4501</v>
      </c>
      <c r="BT71" s="22">
        <v>3.6533090129384789</v>
      </c>
      <c r="BU71" s="22">
        <v>3.5376320422535211E-2</v>
      </c>
      <c r="BV71" s="23">
        <v>10350</v>
      </c>
      <c r="BW71" s="22">
        <v>13399</v>
      </c>
      <c r="BX71" s="22">
        <v>102.83</v>
      </c>
      <c r="BY71" s="22">
        <v>2.0121198358045134</v>
      </c>
      <c r="BZ71" s="25">
        <v>0.17667925391921269</v>
      </c>
      <c r="CA71" s="23">
        <v>1.6391908430144698E-2</v>
      </c>
      <c r="CB71" s="23">
        <v>1.6391908430144697</v>
      </c>
      <c r="CC71" s="23">
        <v>0.21462951930761243</v>
      </c>
      <c r="CD71" s="23">
        <v>1.8091860620457454E-2</v>
      </c>
      <c r="CE71" s="23">
        <v>3.535605482629562E-2</v>
      </c>
      <c r="CF71" s="23">
        <v>1.2890451517394521</v>
      </c>
      <c r="CG71" s="23">
        <f t="shared" si="31"/>
        <v>0.25390175184585689</v>
      </c>
      <c r="CH71" s="26">
        <v>11.56</v>
      </c>
      <c r="CI71" s="26">
        <v>12.07</v>
      </c>
      <c r="CJ71" s="26">
        <v>1.0629578340845103</v>
      </c>
      <c r="CK71" s="26">
        <v>1.0817072700973491</v>
      </c>
      <c r="CL71" s="26">
        <v>-4.2253521126760542E-2</v>
      </c>
      <c r="CM71" s="27">
        <v>13.296884615384608</v>
      </c>
      <c r="CN71" s="27">
        <v>3.681220260646025E-3</v>
      </c>
      <c r="CQ71" s="27">
        <v>67.989575289575299</v>
      </c>
      <c r="CR71" s="27">
        <v>-0.167971536975</v>
      </c>
      <c r="CS71" s="27">
        <v>0.84238461538461584</v>
      </c>
      <c r="CT71" s="27">
        <v>0.91873076923076902</v>
      </c>
      <c r="CU71" s="27">
        <v>-8.3099593921379125E-2</v>
      </c>
      <c r="CV71" s="27">
        <v>0.92230769230769172</v>
      </c>
      <c r="CW71" s="27">
        <v>1.9648758307920116</v>
      </c>
      <c r="CX71" s="28">
        <v>0.56000000000000005</v>
      </c>
      <c r="CY71" s="28">
        <v>0.94</v>
      </c>
      <c r="CZ71" s="29">
        <v>16.52657692</v>
      </c>
      <c r="DA71" s="27">
        <v>0.17782614249273998</v>
      </c>
      <c r="DB71" s="27">
        <v>1.322681365714484</v>
      </c>
      <c r="DC71" s="27">
        <v>1.72976924253802</v>
      </c>
      <c r="DD71" s="27">
        <v>1</v>
      </c>
      <c r="DE71" s="27">
        <v>0.7</v>
      </c>
      <c r="DF71" s="27">
        <v>95.1</v>
      </c>
      <c r="DG71" s="28">
        <v>4.5549289695513444</v>
      </c>
      <c r="DH71" s="27">
        <v>0.95021</v>
      </c>
      <c r="DI71" s="27">
        <v>4.5</v>
      </c>
      <c r="DJ71" s="27">
        <v>3.5</v>
      </c>
      <c r="DK71" s="27">
        <v>1.8</v>
      </c>
      <c r="DL71" s="27">
        <v>7.6672365931182819E-3</v>
      </c>
      <c r="DM71" s="27">
        <v>0.75770000000000004</v>
      </c>
      <c r="DN71" s="28">
        <v>0.74250000000000005</v>
      </c>
      <c r="DO71" s="28">
        <v>-6.3682219419924316E-2</v>
      </c>
      <c r="DP71" s="28">
        <f t="shared" si="34"/>
        <v>-0.10225118483412314</v>
      </c>
      <c r="DQ71" s="27">
        <v>9.7799999999999998E-2</v>
      </c>
      <c r="DR71" s="27">
        <v>2.4490842135800685E-2</v>
      </c>
      <c r="DS71" s="27">
        <v>2.77430650961079E-2</v>
      </c>
      <c r="DT71" s="27">
        <v>3.2347817198611614E-2</v>
      </c>
      <c r="DU71" s="30">
        <v>4.6174650000000002</v>
      </c>
      <c r="DV71">
        <v>-0.5</v>
      </c>
      <c r="DW71">
        <v>-0.4</v>
      </c>
      <c r="DX71">
        <v>93.7</v>
      </c>
      <c r="DY71">
        <v>89.8</v>
      </c>
      <c r="DZ71">
        <v>1.6</v>
      </c>
      <c r="EA71">
        <v>1.7</v>
      </c>
      <c r="EB71">
        <v>2.2385109999999999</v>
      </c>
    </row>
    <row r="72" spans="1:132" ht="18">
      <c r="A72" s="14" t="s">
        <v>149</v>
      </c>
      <c r="B72" s="14">
        <v>6</v>
      </c>
      <c r="C72" s="14" t="s">
        <v>150</v>
      </c>
      <c r="D72" s="14" t="s">
        <v>151</v>
      </c>
      <c r="E72" s="14" t="s">
        <v>143</v>
      </c>
      <c r="F72" s="15">
        <v>38353.9</v>
      </c>
      <c r="G72" s="15">
        <v>4.5838095315799787</v>
      </c>
      <c r="H72" s="15">
        <v>8466.7999999999993</v>
      </c>
      <c r="I72" s="15">
        <v>0</v>
      </c>
      <c r="J72" s="16">
        <v>20148.8</v>
      </c>
      <c r="K72" s="16">
        <v>1</v>
      </c>
      <c r="L72" s="17">
        <v>0.27935598059638439</v>
      </c>
      <c r="M72" s="18">
        <v>30</v>
      </c>
      <c r="N72" s="18">
        <v>39</v>
      </c>
      <c r="O72" s="18">
        <v>0.76824724423312085</v>
      </c>
      <c r="P72" s="18">
        <v>1</v>
      </c>
      <c r="Q72" s="18">
        <v>1</v>
      </c>
      <c r="R72" s="18">
        <v>30</v>
      </c>
      <c r="S72" s="18">
        <v>2</v>
      </c>
      <c r="T72" s="19">
        <v>1825</v>
      </c>
      <c r="U72" s="19">
        <v>3.2612628687924934</v>
      </c>
      <c r="V72" s="20">
        <v>8397</v>
      </c>
      <c r="W72" s="20">
        <v>3.9241241531858249</v>
      </c>
      <c r="X72" s="20">
        <v>9.5621476968627231E-2</v>
      </c>
      <c r="Y72" s="20">
        <v>0.10244686109999999</v>
      </c>
      <c r="Z72" s="20">
        <f t="shared" si="27"/>
        <v>-0.98950134353738739</v>
      </c>
      <c r="AA72" s="20">
        <v>0.1316021127</v>
      </c>
      <c r="AB72" s="20">
        <v>897</v>
      </c>
      <c r="AC72" s="20">
        <v>4974</v>
      </c>
      <c r="AE72" s="21"/>
      <c r="AF72" s="21"/>
      <c r="AG72" s="22">
        <v>2.6949466109225457E-4</v>
      </c>
      <c r="AH72" s="22">
        <v>37</v>
      </c>
      <c r="AI72" s="22">
        <v>1.6687828769999999</v>
      </c>
      <c r="AJ72" s="23">
        <v>87815</v>
      </c>
      <c r="AK72" s="23">
        <f t="shared" si="10"/>
        <v>4.9435687056648865</v>
      </c>
      <c r="AL72" s="24">
        <v>2.6552793000000002E-2</v>
      </c>
      <c r="AM72" s="22">
        <f>52402+29762</f>
        <v>82164</v>
      </c>
      <c r="AN72" s="22">
        <f t="shared" si="28"/>
        <v>0.5984529549725407</v>
      </c>
      <c r="AO72" s="23">
        <v>0.11238014869563952</v>
      </c>
      <c r="AP72" s="33">
        <v>2.5736539999999999E-2</v>
      </c>
      <c r="AQ72" s="23">
        <v>0.41055016028744346</v>
      </c>
      <c r="AR72" s="23">
        <v>137294</v>
      </c>
      <c r="AS72" s="23">
        <v>5.1376515581848325</v>
      </c>
      <c r="AT72" s="23">
        <v>5.1045963540451815</v>
      </c>
      <c r="AU72" s="22">
        <v>0.72</v>
      </c>
      <c r="AV72" s="22">
        <v>0.38933430070000002</v>
      </c>
      <c r="AW72" s="22">
        <v>92</v>
      </c>
      <c r="AX72" s="22">
        <v>67.599999999999994</v>
      </c>
      <c r="AY72" s="22">
        <v>2</v>
      </c>
      <c r="AZ72" s="24">
        <v>68731</v>
      </c>
      <c r="BA72" s="24">
        <f t="shared" si="29"/>
        <v>4.8371526627119481</v>
      </c>
      <c r="BB72" s="24">
        <v>50223</v>
      </c>
      <c r="BC72" s="24">
        <f t="shared" si="30"/>
        <v>4.7009026511194758</v>
      </c>
      <c r="BD72" s="24">
        <v>18508</v>
      </c>
      <c r="BE72" s="23">
        <v>7724</v>
      </c>
      <c r="BF72" s="23">
        <f t="shared" si="32"/>
        <v>1333.5</v>
      </c>
      <c r="BG72" s="23">
        <v>0.52738777931579983</v>
      </c>
      <c r="BH72" s="23">
        <v>5.6258831412880385E-2</v>
      </c>
      <c r="BI72" s="23">
        <v>3.9746290241448691E-2</v>
      </c>
      <c r="BJ72" s="23">
        <v>2.4907930974080256E-2</v>
      </c>
      <c r="BK72" s="23">
        <v>0.41544861347114836</v>
      </c>
      <c r="BL72" s="23">
        <v>5057</v>
      </c>
      <c r="BM72" s="22">
        <v>8726</v>
      </c>
      <c r="BN72" s="22">
        <f t="shared" si="33"/>
        <v>766</v>
      </c>
      <c r="BO72" s="22">
        <v>3.9408152086508013</v>
      </c>
      <c r="BP72" s="22">
        <v>0.12695872313803089</v>
      </c>
      <c r="BQ72" s="22">
        <v>7.4487059309015155E-3</v>
      </c>
      <c r="BR72" s="22">
        <v>7.3605408900943789E-3</v>
      </c>
      <c r="BS72" s="22">
        <v>-8789</v>
      </c>
      <c r="BT72" s="22">
        <v>3.9439394644722165</v>
      </c>
      <c r="BU72" s="22">
        <v>6.4015907468643926E-2</v>
      </c>
      <c r="BV72" s="23">
        <v>6981</v>
      </c>
      <c r="BW72" s="22">
        <v>21464</v>
      </c>
      <c r="BX72" s="22">
        <v>48.53</v>
      </c>
      <c r="BY72" s="22">
        <v>1.6860102913152855</v>
      </c>
      <c r="BZ72" s="25">
        <v>-0.52805601478167852</v>
      </c>
      <c r="CA72" s="23">
        <v>3.535605482629562E-2</v>
      </c>
      <c r="CB72" s="23">
        <v>3.535605482629562</v>
      </c>
      <c r="CC72" s="23">
        <v>0.5484637986838331</v>
      </c>
      <c r="CD72" s="23">
        <v>1.6391908430144698E-2</v>
      </c>
      <c r="CE72" s="23">
        <v>6.2626821819872752E-2</v>
      </c>
      <c r="CF72" s="23">
        <v>1.5501587301587301</v>
      </c>
      <c r="CG72" s="23">
        <f t="shared" si="31"/>
        <v>0.43835733224198148</v>
      </c>
      <c r="CH72" s="26">
        <v>22.5</v>
      </c>
      <c r="CI72" s="26">
        <v>11.56</v>
      </c>
      <c r="CJ72" s="26">
        <v>1.3521825181113625</v>
      </c>
      <c r="CK72" s="26">
        <v>1.0629578340845103</v>
      </c>
      <c r="CL72" s="26">
        <v>0.94636678200692037</v>
      </c>
      <c r="CM72" s="27">
        <v>18.34360153256705</v>
      </c>
      <c r="CN72" s="27">
        <v>0.37954130333231201</v>
      </c>
      <c r="CQ72" s="27">
        <v>77.833846153846167</v>
      </c>
      <c r="CR72" s="27">
        <v>0.14479088628430173</v>
      </c>
      <c r="CS72" s="27">
        <v>0.72605363984674265</v>
      </c>
      <c r="CT72" s="27">
        <v>0.84238461538461584</v>
      </c>
      <c r="CU72" s="27">
        <v>-0.13809722235342442</v>
      </c>
      <c r="CV72" s="27">
        <v>0.78180076628352502</v>
      </c>
      <c r="CW72" s="27">
        <v>1.8930960917710087</v>
      </c>
      <c r="CX72" s="28">
        <v>0.88</v>
      </c>
      <c r="CY72" s="28">
        <v>0.56000000000000005</v>
      </c>
      <c r="CZ72" s="29">
        <v>19.614636019999999</v>
      </c>
      <c r="DA72" s="27">
        <v>0.18685412683753744</v>
      </c>
      <c r="DB72" s="27">
        <v>2.3607257116750975</v>
      </c>
      <c r="DC72" s="27">
        <v>1.322681365714484</v>
      </c>
      <c r="DD72" s="27">
        <v>1</v>
      </c>
      <c r="DE72" s="27">
        <v>-0.1</v>
      </c>
      <c r="DF72" s="27">
        <v>96.7</v>
      </c>
      <c r="DG72" s="28">
        <v>4.5716134024592483</v>
      </c>
      <c r="DH72" s="27">
        <v>0.96782999999999997</v>
      </c>
      <c r="DI72" s="27">
        <v>4.5</v>
      </c>
      <c r="DJ72" s="27">
        <v>2.5</v>
      </c>
      <c r="DK72" s="27">
        <v>1.8</v>
      </c>
      <c r="DL72" s="27">
        <v>1.679984422560547E-2</v>
      </c>
      <c r="DM72" s="27">
        <v>0.6855</v>
      </c>
      <c r="DN72" s="28">
        <v>0.84760000000000002</v>
      </c>
      <c r="DO72" s="28">
        <v>0.14154882154882151</v>
      </c>
      <c r="DP72" s="28">
        <f t="shared" si="34"/>
        <v>-9.5288372706876123E-2</v>
      </c>
      <c r="DQ72" s="27">
        <v>0.10279999999999989</v>
      </c>
      <c r="DR72" s="27">
        <v>2.77430650961079E-2</v>
      </c>
      <c r="DS72" s="27">
        <v>5.0662060808238797E-2</v>
      </c>
      <c r="DT72" s="27">
        <v>2.4490842135800685E-2</v>
      </c>
      <c r="DU72" s="30">
        <v>4.6191050000000002</v>
      </c>
      <c r="DV72">
        <v>-0.9</v>
      </c>
      <c r="DW72">
        <v>-0.7</v>
      </c>
      <c r="DX72">
        <v>96.2</v>
      </c>
      <c r="DY72">
        <v>92.4</v>
      </c>
      <c r="DZ72">
        <v>2.1</v>
      </c>
      <c r="EA72">
        <v>1.9</v>
      </c>
      <c r="EB72">
        <v>2.1588159999999998</v>
      </c>
    </row>
    <row r="73" spans="1:132" ht="18">
      <c r="A73" s="14" t="s">
        <v>149</v>
      </c>
      <c r="B73" s="14">
        <v>7</v>
      </c>
      <c r="C73" s="14" t="s">
        <v>150</v>
      </c>
      <c r="D73" s="14" t="s">
        <v>151</v>
      </c>
      <c r="E73" s="14" t="s">
        <v>143</v>
      </c>
      <c r="F73" s="15">
        <v>38269.300000000003</v>
      </c>
      <c r="G73" s="15">
        <v>4.5828505184325561</v>
      </c>
      <c r="H73" s="15">
        <v>16770.8</v>
      </c>
      <c r="I73" s="15">
        <v>0</v>
      </c>
      <c r="J73" s="16">
        <v>21498.5</v>
      </c>
      <c r="K73" s="16">
        <v>1</v>
      </c>
      <c r="L73" s="17">
        <v>0.24368365755038365</v>
      </c>
      <c r="M73" s="18">
        <v>30</v>
      </c>
      <c r="N73" s="18">
        <v>39</v>
      </c>
      <c r="O73" s="18">
        <v>0.76824724423312085</v>
      </c>
      <c r="P73" s="18">
        <v>1</v>
      </c>
      <c r="Q73" s="18">
        <v>1</v>
      </c>
      <c r="R73" s="18">
        <v>30</v>
      </c>
      <c r="S73" s="18">
        <v>2</v>
      </c>
      <c r="T73" s="19">
        <v>1939</v>
      </c>
      <c r="U73" s="19">
        <v>3.2875778090787056</v>
      </c>
      <c r="V73" s="20">
        <v>9019</v>
      </c>
      <c r="W73" s="20">
        <v>3.9551583869257936</v>
      </c>
      <c r="X73" s="20">
        <v>9.6420706023220504E-2</v>
      </c>
      <c r="Y73" s="20">
        <v>0.11716732119999999</v>
      </c>
      <c r="Z73" s="20">
        <f t="shared" si="27"/>
        <v>-0.93119349925211925</v>
      </c>
      <c r="AA73" s="20">
        <v>0.42540604500000001</v>
      </c>
      <c r="AB73" s="20">
        <v>3955</v>
      </c>
      <c r="AC73" s="20">
        <v>6623</v>
      </c>
      <c r="AE73" s="21"/>
      <c r="AF73" s="21"/>
      <c r="AG73" s="22">
        <v>3.3748288707058485E-4</v>
      </c>
      <c r="AH73" s="22">
        <v>53</v>
      </c>
      <c r="AI73" s="22">
        <v>1.410466599</v>
      </c>
      <c r="AJ73" s="23">
        <v>93538</v>
      </c>
      <c r="AK73" s="23">
        <f t="shared" si="10"/>
        <v>4.9709880797241883</v>
      </c>
      <c r="AL73" s="24">
        <v>2.2350812000000001E-2</v>
      </c>
      <c r="AM73" s="22">
        <f>62973+55645</f>
        <v>118618</v>
      </c>
      <c r="AN73" s="22">
        <f t="shared" si="28"/>
        <v>0.75531217167054032</v>
      </c>
      <c r="AO73" s="23">
        <v>1.8489274146139038E-2</v>
      </c>
      <c r="AP73" s="33">
        <v>4.0435066999999998E-2</v>
      </c>
      <c r="AQ73" s="23">
        <v>0.60675816706345653</v>
      </c>
      <c r="AR73" s="23">
        <v>157045</v>
      </c>
      <c r="AS73" s="23">
        <v>5.1960241138833503</v>
      </c>
      <c r="AT73" s="23">
        <v>5.1376515581848325</v>
      </c>
      <c r="AU73" s="22">
        <v>1.903</v>
      </c>
      <c r="AV73" s="22">
        <v>1.0684674839999999</v>
      </c>
      <c r="AW73" s="22">
        <v>54.2</v>
      </c>
      <c r="AX73" s="22">
        <v>92</v>
      </c>
      <c r="AY73" s="22">
        <v>2</v>
      </c>
      <c r="AZ73" s="24">
        <v>86753</v>
      </c>
      <c r="BA73" s="24">
        <f t="shared" si="29"/>
        <v>4.9382845020325714</v>
      </c>
      <c r="BB73" s="24">
        <v>66419</v>
      </c>
      <c r="BC73" s="24">
        <f t="shared" si="30"/>
        <v>4.822292332603058</v>
      </c>
      <c r="BD73" s="24">
        <v>20334</v>
      </c>
      <c r="BE73" s="23">
        <v>1604</v>
      </c>
      <c r="BF73" s="23">
        <f t="shared" si="32"/>
        <v>3060</v>
      </c>
      <c r="BG73" s="23">
        <v>-0.79233557742102534</v>
      </c>
      <c r="BH73" s="23">
        <v>1.0213633035117324E-2</v>
      </c>
      <c r="BI73" s="23">
        <v>5.6258831412880385E-2</v>
      </c>
      <c r="BJ73" s="23">
        <v>2.4907930974080256E-2</v>
      </c>
      <c r="BK73" s="23">
        <v>-0.81845280503322138</v>
      </c>
      <c r="BL73" s="23">
        <v>7724</v>
      </c>
      <c r="BM73" s="22">
        <v>6738</v>
      </c>
      <c r="BN73" s="22">
        <f t="shared" si="33"/>
        <v>994</v>
      </c>
      <c r="BO73" s="22">
        <v>3.8285310066451013</v>
      </c>
      <c r="BP73" s="22">
        <v>7.7668783788456888E-2</v>
      </c>
      <c r="BQ73" s="22">
        <v>2.4644969674786979E-2</v>
      </c>
      <c r="BR73" s="22">
        <v>7.4487059309015155E-3</v>
      </c>
      <c r="BS73" s="22">
        <v>-17078</v>
      </c>
      <c r="BT73" s="22">
        <v>4.232437009220555</v>
      </c>
      <c r="BU73" s="22">
        <v>0.10874590085644242</v>
      </c>
      <c r="BV73" s="23">
        <v>5687</v>
      </c>
      <c r="BW73" s="22">
        <v>41058</v>
      </c>
      <c r="BX73" s="22">
        <v>28.44</v>
      </c>
      <c r="BY73" s="22">
        <v>1.4539295920577286</v>
      </c>
      <c r="BZ73" s="25">
        <v>-0.4139707397486091</v>
      </c>
      <c r="CA73" s="23">
        <v>6.2626821819872752E-2</v>
      </c>
      <c r="CB73" s="23">
        <v>6.2626821819872749</v>
      </c>
      <c r="CC73" s="23">
        <v>0.7967603727245558</v>
      </c>
      <c r="CD73" s="23">
        <v>3.535605482629562E-2</v>
      </c>
      <c r="CE73" s="23">
        <v>3.0612571544382627E-2</v>
      </c>
      <c r="CF73" s="23">
        <v>2.2580219780219779</v>
      </c>
      <c r="CG73" s="23">
        <f t="shared" si="31"/>
        <v>0.81448919908221706</v>
      </c>
      <c r="CH73" s="26">
        <v>40</v>
      </c>
      <c r="CI73" s="26">
        <v>22.5</v>
      </c>
      <c r="CJ73" s="26">
        <v>1.6020599913279623</v>
      </c>
      <c r="CK73" s="26">
        <v>1.3521825181113625</v>
      </c>
      <c r="CL73" s="26">
        <v>0.77777777777777779</v>
      </c>
      <c r="CM73" s="27">
        <v>34.430804597701169</v>
      </c>
      <c r="CN73" s="27">
        <v>0.87699261437690179</v>
      </c>
      <c r="CO73" s="27">
        <v>14.002720000000007</v>
      </c>
      <c r="CQ73" s="27">
        <v>141.16230769230771</v>
      </c>
      <c r="CR73" s="27">
        <v>0.81363654332700808</v>
      </c>
      <c r="CS73" s="27">
        <v>1.4151340996168575</v>
      </c>
      <c r="CT73" s="27">
        <v>0.72605363984674265</v>
      </c>
      <c r="CU73" s="27">
        <v>0.94907651715039654</v>
      </c>
      <c r="CV73" s="27">
        <v>1.549389312977099</v>
      </c>
      <c r="CW73" s="27">
        <v>2.1901605560639821</v>
      </c>
      <c r="CX73" s="28">
        <v>2.34</v>
      </c>
      <c r="CY73" s="28">
        <v>0.88</v>
      </c>
      <c r="CZ73" s="29">
        <v>33.709007630000002</v>
      </c>
      <c r="DA73" s="27">
        <v>0.71856401493398725</v>
      </c>
      <c r="DB73" s="27">
        <v>3.1430399491928545</v>
      </c>
      <c r="DC73" s="27">
        <v>2.3607257116750975</v>
      </c>
      <c r="DD73" s="27">
        <v>1</v>
      </c>
      <c r="DE73" s="27">
        <v>-0.6</v>
      </c>
      <c r="DF73" s="27">
        <v>97.5</v>
      </c>
      <c r="DG73" s="28">
        <v>4.5798523780038014</v>
      </c>
      <c r="DH73" s="27">
        <v>0.98065000000000002</v>
      </c>
      <c r="DI73" s="27">
        <v>4.4000000000000004</v>
      </c>
      <c r="DJ73" s="27">
        <v>3.1</v>
      </c>
      <c r="DK73" s="27">
        <v>2</v>
      </c>
      <c r="DL73" s="27">
        <v>4.1965997035105826E-2</v>
      </c>
      <c r="DM73" s="27">
        <v>0.71560000000000001</v>
      </c>
      <c r="DN73" s="28">
        <v>0.75849999999999995</v>
      </c>
      <c r="DO73" s="28">
        <v>-0.10512033978291654</v>
      </c>
      <c r="DP73" s="28">
        <f t="shared" si="34"/>
        <v>4.3909555069292512E-2</v>
      </c>
      <c r="DQ73" s="27">
        <v>0.17789999999999995</v>
      </c>
      <c r="DR73" s="27">
        <v>5.0662060808238797E-2</v>
      </c>
      <c r="DS73" s="27">
        <v>3.802148779895468E-2</v>
      </c>
      <c r="DT73" s="27">
        <v>2.77430650961079E-2</v>
      </c>
      <c r="DU73" s="30">
        <v>5.7984980000000004</v>
      </c>
      <c r="DV73">
        <v>-1</v>
      </c>
      <c r="DW73">
        <v>0.7</v>
      </c>
      <c r="DX73">
        <v>98</v>
      </c>
      <c r="DY73">
        <v>95</v>
      </c>
      <c r="DZ73">
        <v>1.6</v>
      </c>
      <c r="EA73">
        <v>1.7</v>
      </c>
      <c r="EB73">
        <v>2.0603549999999999</v>
      </c>
    </row>
    <row r="74" spans="1:132" ht="18">
      <c r="A74" s="14" t="s">
        <v>149</v>
      </c>
      <c r="B74" s="14">
        <v>8</v>
      </c>
      <c r="C74" s="14" t="s">
        <v>150</v>
      </c>
      <c r="D74" s="14" t="s">
        <v>151</v>
      </c>
      <c r="E74" s="14" t="s">
        <v>143</v>
      </c>
      <c r="F74" s="15">
        <v>35866.6</v>
      </c>
      <c r="G74" s="15">
        <v>4.5546902093711434</v>
      </c>
      <c r="H74" s="15">
        <v>16949.2</v>
      </c>
      <c r="I74" s="15">
        <v>0</v>
      </c>
      <c r="J74" s="16">
        <v>18917.400000000001</v>
      </c>
      <c r="K74" s="16">
        <v>1</v>
      </c>
      <c r="L74" s="17">
        <v>0.23501513622603429</v>
      </c>
      <c r="M74" s="18">
        <v>30</v>
      </c>
      <c r="N74" s="18">
        <v>39</v>
      </c>
      <c r="O74" s="18">
        <v>0.76824724423312085</v>
      </c>
      <c r="P74" s="18">
        <v>1</v>
      </c>
      <c r="Q74" s="18">
        <v>1</v>
      </c>
      <c r="R74" s="18">
        <v>30</v>
      </c>
      <c r="S74" s="18">
        <v>2</v>
      </c>
      <c r="T74" s="19">
        <v>94</v>
      </c>
      <c r="U74" s="19">
        <v>1.9731278535996986</v>
      </c>
      <c r="V74" s="20">
        <v>7958</v>
      </c>
      <c r="W74" s="20">
        <v>3.9008039348103694</v>
      </c>
      <c r="X74" s="20">
        <v>9.3504723410255203E-2</v>
      </c>
      <c r="Y74" s="20">
        <v>0.1197805294</v>
      </c>
      <c r="Z74" s="20">
        <f t="shared" si="27"/>
        <v>-0.92161377177451298</v>
      </c>
      <c r="AA74" s="20">
        <v>0.2395873137</v>
      </c>
      <c r="AB74" s="20">
        <v>1881</v>
      </c>
      <c r="AC74" s="20">
        <v>7226</v>
      </c>
      <c r="AE74" s="21"/>
      <c r="AF74" s="21"/>
      <c r="AG74" s="22">
        <v>4.0625368576932655E-4</v>
      </c>
      <c r="AH74" s="22">
        <v>62</v>
      </c>
      <c r="AI74" s="22">
        <v>1.2663120080000001</v>
      </c>
      <c r="AJ74" s="23">
        <v>85108</v>
      </c>
      <c r="AK74" s="23">
        <f t="shared" si="10"/>
        <v>4.9299703849090122</v>
      </c>
      <c r="AL74" s="24">
        <v>1.175382E-3</v>
      </c>
      <c r="AM74" s="22">
        <f>70775+37853</f>
        <v>108628</v>
      </c>
      <c r="AN74" s="22">
        <f t="shared" si="28"/>
        <v>0.71178266738307105</v>
      </c>
      <c r="AO74" s="23">
        <v>0.10839772926201015</v>
      </c>
      <c r="AP74" s="33">
        <v>1.4762178000000001E-2</v>
      </c>
      <c r="AQ74" s="23">
        <v>0.169150437676723</v>
      </c>
      <c r="AR74" s="23">
        <v>152614</v>
      </c>
      <c r="AS74" s="23">
        <v>5.1835943753217384</v>
      </c>
      <c r="AT74" s="23">
        <v>5.1960241138833503</v>
      </c>
      <c r="AU74" s="22">
        <v>1.3839999999999999</v>
      </c>
      <c r="AV74" s="22">
        <v>0.85884144959999997</v>
      </c>
      <c r="AW74" s="22">
        <v>55.7</v>
      </c>
      <c r="AX74" s="22">
        <v>54.2</v>
      </c>
      <c r="AY74" s="22">
        <v>2</v>
      </c>
      <c r="AZ74" s="24">
        <v>79974</v>
      </c>
      <c r="BA74" s="24">
        <f t="shared" si="29"/>
        <v>4.9029488183441767</v>
      </c>
      <c r="BB74" s="24">
        <v>61023</v>
      </c>
      <c r="BC74" s="24">
        <f t="shared" si="30"/>
        <v>4.7854935545259742</v>
      </c>
      <c r="BD74" s="24">
        <v>18951</v>
      </c>
      <c r="BE74" s="23">
        <v>8669</v>
      </c>
      <c r="BF74" s="23">
        <f t="shared" si="32"/>
        <v>3532.5</v>
      </c>
      <c r="BG74" s="23">
        <v>4.4046134663341645</v>
      </c>
      <c r="BH74" s="23">
        <v>5.6803438740875671E-2</v>
      </c>
      <c r="BI74" s="23">
        <v>1.0213633035117324E-2</v>
      </c>
      <c r="BJ74" s="23">
        <v>2.4907930974080256E-2</v>
      </c>
      <c r="BK74" s="23">
        <v>4.5615311951750739</v>
      </c>
      <c r="BL74" s="23">
        <v>1604</v>
      </c>
      <c r="BM74" s="22">
        <v>9054</v>
      </c>
      <c r="BN74" s="22">
        <f t="shared" si="33"/>
        <v>1158</v>
      </c>
      <c r="BO74" s="22">
        <v>3.9568404901592333</v>
      </c>
      <c r="BP74" s="22">
        <v>0.11321179383299572</v>
      </c>
      <c r="BQ74" s="22">
        <v>1.7771505022269461E-2</v>
      </c>
      <c r="BR74" s="22">
        <v>2.4644969674786979E-2</v>
      </c>
      <c r="BS74" s="22">
        <v>-3399</v>
      </c>
      <c r="BT74" s="22">
        <v>3.5313511645830595</v>
      </c>
      <c r="BU74" s="22">
        <v>2.2271875450482918E-2</v>
      </c>
      <c r="BV74" s="23">
        <v>8569</v>
      </c>
      <c r="BW74" s="22">
        <v>37777</v>
      </c>
      <c r="BX74" s="22">
        <v>29.23</v>
      </c>
      <c r="BY74" s="22">
        <v>1.4658288153574364</v>
      </c>
      <c r="BZ74" s="25">
        <v>2.7777777777777745E-2</v>
      </c>
      <c r="CA74" s="23">
        <v>3.0612571544382627E-2</v>
      </c>
      <c r="CB74" s="23">
        <v>3.0612571544382625</v>
      </c>
      <c r="CC74" s="23">
        <v>0.48589981311992536</v>
      </c>
      <c r="CD74" s="23">
        <v>6.2626821819872752E-2</v>
      </c>
      <c r="CE74" s="23">
        <v>3.3457083478289622E-2</v>
      </c>
      <c r="CF74" s="23">
        <v>1.7428249859313449</v>
      </c>
      <c r="CG74" s="23">
        <f t="shared" si="31"/>
        <v>0.55550735181855149</v>
      </c>
      <c r="CH74" s="26">
        <v>21.68</v>
      </c>
      <c r="CI74" s="26">
        <v>40</v>
      </c>
      <c r="CJ74" s="26">
        <v>1.3360592778663494</v>
      </c>
      <c r="CK74" s="26">
        <v>1.6020599913279623</v>
      </c>
      <c r="CL74" s="26">
        <v>-0.45800000000000002</v>
      </c>
      <c r="CM74" s="27">
        <v>32.806781609195411</v>
      </c>
      <c r="CN74" s="27">
        <v>-4.7167732717294325E-2</v>
      </c>
      <c r="CO74" s="27">
        <v>14.687391304347829</v>
      </c>
      <c r="CP74" s="27">
        <v>4.8895593452402179E-2</v>
      </c>
      <c r="CQ74" s="27">
        <v>128.33115384615388</v>
      </c>
      <c r="CR74" s="27">
        <v>-9.0896458522922177E-2</v>
      </c>
      <c r="CS74" s="27">
        <v>1.3546743295019157</v>
      </c>
      <c r="CT74" s="27">
        <v>1.4151340996168575</v>
      </c>
      <c r="CU74" s="27">
        <v>-4.272370380397951E-2</v>
      </c>
      <c r="CV74" s="27">
        <v>1.5608045977011498</v>
      </c>
      <c r="CW74" s="27">
        <v>2.1933485357004661</v>
      </c>
      <c r="CX74" s="28">
        <v>1.03</v>
      </c>
      <c r="CY74" s="28">
        <v>2.34</v>
      </c>
      <c r="CZ74" s="29">
        <v>33.580881230000003</v>
      </c>
      <c r="DA74" s="27">
        <v>-3.8009543741646867E-3</v>
      </c>
      <c r="DB74" s="27">
        <v>1.4102002336892525</v>
      </c>
      <c r="DC74" s="27">
        <v>3.1430399491928545</v>
      </c>
      <c r="DD74" s="27">
        <v>1</v>
      </c>
      <c r="DE74" s="27">
        <v>2</v>
      </c>
      <c r="DF74" s="27">
        <v>99.3</v>
      </c>
      <c r="DG74" s="28">
        <v>4.598145571051127</v>
      </c>
      <c r="DH74" s="27">
        <v>0.99378999999999995</v>
      </c>
      <c r="DI74" s="27">
        <v>4.5</v>
      </c>
      <c r="DJ74" s="27">
        <v>1.4</v>
      </c>
      <c r="DK74" s="27">
        <v>2.6</v>
      </c>
      <c r="DL74" s="27">
        <v>2.4369778879479467E-2</v>
      </c>
      <c r="DM74" s="27">
        <v>0.69779999999999998</v>
      </c>
      <c r="DN74" s="28">
        <v>0.68400000000000005</v>
      </c>
      <c r="DO74" s="28">
        <v>-9.8220171390902972E-2</v>
      </c>
      <c r="DP74" s="28">
        <f t="shared" si="34"/>
        <v>-2.487423141419793E-2</v>
      </c>
      <c r="DQ74" s="27">
        <v>0.13560000000000005</v>
      </c>
      <c r="DR74" s="27">
        <v>3.802148779895468E-2</v>
      </c>
      <c r="DS74" s="27">
        <v>3.4239891893164551E-2</v>
      </c>
      <c r="DT74" s="27">
        <v>5.0662060808238797E-2</v>
      </c>
      <c r="DU74" s="30">
        <v>9.2708490000000001</v>
      </c>
      <c r="DV74">
        <v>2.2000000000000002</v>
      </c>
      <c r="DW74">
        <v>2.6</v>
      </c>
      <c r="DX74">
        <v>98.8</v>
      </c>
      <c r="DY74">
        <v>96.9</v>
      </c>
      <c r="DZ74">
        <v>1.3</v>
      </c>
      <c r="EA74">
        <v>2.5</v>
      </c>
      <c r="EB74">
        <v>1.1868369999999999</v>
      </c>
    </row>
    <row r="75" spans="1:132" ht="18">
      <c r="A75" s="14" t="s">
        <v>149</v>
      </c>
      <c r="B75" s="14">
        <v>9</v>
      </c>
      <c r="C75" s="14" t="s">
        <v>150</v>
      </c>
      <c r="D75" s="14" t="s">
        <v>151</v>
      </c>
      <c r="E75" s="14" t="s">
        <v>143</v>
      </c>
      <c r="F75" s="15">
        <v>49251.7</v>
      </c>
      <c r="G75" s="15">
        <v>4.6924212254504285</v>
      </c>
      <c r="H75" s="15">
        <v>31116.2</v>
      </c>
      <c r="I75" s="15">
        <v>0</v>
      </c>
      <c r="J75" s="16">
        <v>18135.5</v>
      </c>
      <c r="K75" s="16">
        <v>1</v>
      </c>
      <c r="L75" s="17">
        <v>0.3221571025830548</v>
      </c>
      <c r="M75" s="18">
        <v>30</v>
      </c>
      <c r="N75" s="18">
        <v>39</v>
      </c>
      <c r="O75" s="18">
        <v>0.76824724423312085</v>
      </c>
      <c r="P75" s="18">
        <v>1</v>
      </c>
      <c r="Q75" s="18">
        <v>1</v>
      </c>
      <c r="R75" s="18">
        <v>30</v>
      </c>
      <c r="S75" s="18">
        <v>2</v>
      </c>
      <c r="T75" s="19">
        <v>394</v>
      </c>
      <c r="U75" s="19">
        <v>2.5954962218255742</v>
      </c>
      <c r="V75" s="20">
        <v>4828</v>
      </c>
      <c r="W75" s="20">
        <v>3.6837672614253116</v>
      </c>
      <c r="X75" s="20">
        <v>5.6729921861230242E-2</v>
      </c>
      <c r="Y75" s="20">
        <v>4.2878265159999998E-2</v>
      </c>
      <c r="Z75" s="20">
        <f t="shared" si="27"/>
        <v>-1.3677627943666057</v>
      </c>
      <c r="AA75" s="20">
        <v>0.27657190869999998</v>
      </c>
      <c r="AB75" s="20">
        <v>1975</v>
      </c>
      <c r="AC75" s="20">
        <v>2610</v>
      </c>
      <c r="AE75" s="21"/>
      <c r="AF75" s="21"/>
      <c r="AG75" s="22">
        <v>3.9900314623792361E-4</v>
      </c>
      <c r="AH75" s="22">
        <v>61</v>
      </c>
      <c r="AI75" s="22">
        <v>0.9586486783</v>
      </c>
      <c r="AJ75" s="23">
        <v>85105</v>
      </c>
      <c r="AK75" s="23">
        <f t="shared" si="10"/>
        <v>4.9299550760495725</v>
      </c>
      <c r="AL75" s="24">
        <v>4.2428090000000002E-3</v>
      </c>
      <c r="AM75" s="22">
        <f>69580+37716</f>
        <v>107296</v>
      </c>
      <c r="AN75" s="22">
        <f t="shared" si="28"/>
        <v>0.70182691112695494</v>
      </c>
      <c r="AO75" s="23">
        <v>6.7637272110528418E-2</v>
      </c>
      <c r="AP75" s="33">
        <v>5.6655500000000005E-4</v>
      </c>
      <c r="AQ75" s="23">
        <v>-1.2467579233344663</v>
      </c>
      <c r="AR75" s="23">
        <v>152881</v>
      </c>
      <c r="AS75" s="23">
        <v>5.1843535147917335</v>
      </c>
      <c r="AT75" s="23">
        <v>5.1835943753217384</v>
      </c>
      <c r="AU75" s="22">
        <v>1.2909999999999999</v>
      </c>
      <c r="AV75" s="22">
        <v>0.71275638919999995</v>
      </c>
      <c r="AW75" s="22">
        <v>43.7</v>
      </c>
      <c r="AX75" s="22">
        <v>55.7</v>
      </c>
      <c r="AY75" s="22">
        <v>1</v>
      </c>
      <c r="AZ75" s="24">
        <v>92863</v>
      </c>
      <c r="BA75" s="24">
        <f t="shared" si="29"/>
        <v>4.9678427097242999</v>
      </c>
      <c r="BB75" s="24">
        <v>73575</v>
      </c>
      <c r="BC75" s="24">
        <f t="shared" si="30"/>
        <v>4.8667302707716482</v>
      </c>
      <c r="BD75" s="24">
        <v>19288</v>
      </c>
      <c r="BE75" s="23">
        <v>6281</v>
      </c>
      <c r="BF75" s="23">
        <f t="shared" si="32"/>
        <v>1194</v>
      </c>
      <c r="BG75" s="23">
        <v>-0.27546429807359557</v>
      </c>
      <c r="BH75" s="23">
        <v>4.1084241992137678E-2</v>
      </c>
      <c r="BI75" s="23">
        <v>5.6803438740875671E-2</v>
      </c>
      <c r="BJ75" s="23">
        <v>2.4907930974080256E-2</v>
      </c>
      <c r="BK75" s="23">
        <v>-0.27672966808304306</v>
      </c>
      <c r="BL75" s="23">
        <v>8669</v>
      </c>
      <c r="BM75" s="22">
        <v>11085</v>
      </c>
      <c r="BN75" s="22">
        <f t="shared" si="33"/>
        <v>1015.5</v>
      </c>
      <c r="BO75" s="22">
        <v>4.0447356974505073</v>
      </c>
      <c r="BP75" s="22">
        <v>0.11936939362286379</v>
      </c>
      <c r="BQ75" s="22">
        <v>3.0787998949340367E-3</v>
      </c>
      <c r="BR75" s="22">
        <v>1.7771505022269461E-2</v>
      </c>
      <c r="BS75" s="22">
        <v>756</v>
      </c>
      <c r="BT75" s="22"/>
      <c r="BU75" s="22">
        <v>-4.9450225992765618E-3</v>
      </c>
      <c r="BV75" s="23">
        <v>9168</v>
      </c>
      <c r="BW75" s="22">
        <v>32491</v>
      </c>
      <c r="BX75" s="22">
        <v>22.94</v>
      </c>
      <c r="BY75" s="22">
        <v>1.3605934135652489</v>
      </c>
      <c r="BZ75" s="25">
        <v>-0.2151898734177215</v>
      </c>
      <c r="CA75" s="23">
        <v>3.3457083478289622E-2</v>
      </c>
      <c r="CB75" s="23">
        <v>3.3457083478289622</v>
      </c>
      <c r="CC75" s="23">
        <v>0.52448807994703073</v>
      </c>
      <c r="CD75" s="23">
        <v>3.0612571544382627E-2</v>
      </c>
      <c r="CE75" s="23">
        <v>2.2271907292323895E-2</v>
      </c>
      <c r="CF75" s="23">
        <v>1.4228187919463087</v>
      </c>
      <c r="CG75" s="23">
        <f t="shared" si="31"/>
        <v>0.35263996872655329</v>
      </c>
      <c r="CH75" s="26">
        <v>17.75</v>
      </c>
      <c r="CI75" s="26">
        <v>21.68</v>
      </c>
      <c r="CJ75" s="26">
        <v>1.249198357391113</v>
      </c>
      <c r="CK75" s="26">
        <v>1.3360592778663494</v>
      </c>
      <c r="CL75" s="26">
        <v>-0.18127306273062729</v>
      </c>
      <c r="CM75" s="27">
        <v>23.674061302682002</v>
      </c>
      <c r="CN75" s="27">
        <v>-0.27837903806917774</v>
      </c>
      <c r="CO75" s="27">
        <v>13.172845849802364</v>
      </c>
      <c r="CP75" s="27">
        <v>-0.10311875153058132</v>
      </c>
      <c r="CQ75" s="27">
        <v>93.814615384615436</v>
      </c>
      <c r="CR75" s="27">
        <v>-0.26896460779054171</v>
      </c>
      <c r="CS75" s="27">
        <v>1.0575095785440605</v>
      </c>
      <c r="CT75" s="27">
        <v>1.3546743295019157</v>
      </c>
      <c r="CU75" s="27">
        <v>-0.21936250247475808</v>
      </c>
      <c r="CV75" s="27">
        <v>1.2699233716475098</v>
      </c>
      <c r="CW75" s="27">
        <v>2.1037775160152683</v>
      </c>
      <c r="CX75" s="28">
        <v>0.92</v>
      </c>
      <c r="CY75" s="28">
        <v>1.03</v>
      </c>
      <c r="CZ75" s="29">
        <v>26.404674329999999</v>
      </c>
      <c r="DA75" s="27">
        <v>-0.21369918349816944</v>
      </c>
      <c r="DB75" s="27">
        <v>3.3676575479931978</v>
      </c>
      <c r="DC75" s="27">
        <v>1.4102002336892525</v>
      </c>
      <c r="DD75" s="27">
        <v>1</v>
      </c>
      <c r="DE75" s="27">
        <v>1.9</v>
      </c>
      <c r="DF75" s="27">
        <v>100</v>
      </c>
      <c r="DG75" s="28">
        <v>4.6051701859880918</v>
      </c>
      <c r="DH75" s="27">
        <v>1</v>
      </c>
      <c r="DI75" s="27">
        <v>4.3</v>
      </c>
      <c r="DJ75" s="27">
        <v>2</v>
      </c>
      <c r="DK75" s="27">
        <v>2.5</v>
      </c>
      <c r="DL75" s="27">
        <v>2.4833477735949187E-2</v>
      </c>
      <c r="DM75" s="27">
        <v>0.74709999999999999</v>
      </c>
      <c r="DN75" s="28">
        <v>0.71719999999999995</v>
      </c>
      <c r="DO75" s="28">
        <v>4.8538011695906276E-2</v>
      </c>
      <c r="DP75" s="28">
        <f t="shared" si="34"/>
        <v>7.0650616222413323E-2</v>
      </c>
      <c r="DQ75" s="27">
        <v>0.14990000000000003</v>
      </c>
      <c r="DR75" s="27">
        <v>3.4239891893164551E-2</v>
      </c>
      <c r="DS75" s="27">
        <v>2.4180879115385762E-2</v>
      </c>
      <c r="DT75" s="27">
        <v>3.802148779895468E-2</v>
      </c>
      <c r="DU75" s="30">
        <v>9.6228090000000002</v>
      </c>
      <c r="DV75">
        <v>2.7</v>
      </c>
      <c r="DW75">
        <v>2.9</v>
      </c>
      <c r="DX75">
        <v>100</v>
      </c>
      <c r="DY75">
        <v>100</v>
      </c>
      <c r="DZ75">
        <v>0.2</v>
      </c>
      <c r="EA75">
        <v>2</v>
      </c>
      <c r="EB75">
        <v>1.2855829999999999</v>
      </c>
    </row>
    <row r="76" spans="1:132" ht="18">
      <c r="A76" s="14" t="s">
        <v>149</v>
      </c>
      <c r="B76" s="14">
        <v>10</v>
      </c>
      <c r="C76" s="14" t="s">
        <v>150</v>
      </c>
      <c r="D76" s="14" t="s">
        <v>151</v>
      </c>
      <c r="E76" s="14" t="s">
        <v>143</v>
      </c>
      <c r="F76" s="15">
        <v>41421.1</v>
      </c>
      <c r="G76" s="15">
        <v>4.6172216280578366</v>
      </c>
      <c r="H76" s="15">
        <v>25865.200000000001</v>
      </c>
      <c r="I76" s="15">
        <v>0</v>
      </c>
      <c r="J76" s="16">
        <v>15555.9</v>
      </c>
      <c r="K76" s="16">
        <v>1</v>
      </c>
      <c r="L76" s="17">
        <v>0.27095282327698988</v>
      </c>
      <c r="M76" s="18">
        <v>30</v>
      </c>
      <c r="N76" s="18">
        <v>39</v>
      </c>
      <c r="O76" s="18">
        <v>0.76824724423312085</v>
      </c>
      <c r="P76" s="18">
        <v>1</v>
      </c>
      <c r="Q76" s="18">
        <v>1</v>
      </c>
      <c r="R76" s="18">
        <v>30</v>
      </c>
      <c r="S76" s="18">
        <v>2</v>
      </c>
      <c r="T76" s="19">
        <v>692</v>
      </c>
      <c r="U76" s="19">
        <v>2.840106094456758</v>
      </c>
      <c r="V76" s="20">
        <v>4912</v>
      </c>
      <c r="W76" s="20">
        <v>3.6912583581331111</v>
      </c>
      <c r="X76" s="20">
        <v>6.2264701035632343E-2</v>
      </c>
      <c r="Y76" s="20">
        <v>3.8572122520000002E-2</v>
      </c>
      <c r="Z76" s="20">
        <f t="shared" si="27"/>
        <v>-1.4137264624209374</v>
      </c>
      <c r="AA76" s="20">
        <v>0.15174363809999999</v>
      </c>
      <c r="AB76" s="20">
        <v>322</v>
      </c>
      <c r="AC76" s="20">
        <v>2938</v>
      </c>
      <c r="AE76" s="21"/>
      <c r="AF76" s="21"/>
      <c r="AG76" s="22">
        <v>3.8594379611701294E-4</v>
      </c>
      <c r="AH76" s="22">
        <v>59</v>
      </c>
      <c r="AI76" s="22">
        <v>0.80276676849999995</v>
      </c>
      <c r="AJ76" s="23">
        <v>78889</v>
      </c>
      <c r="AK76" s="23">
        <f t="shared" si="10"/>
        <v>4.8970164509616882</v>
      </c>
      <c r="AL76" s="24">
        <v>6.126388E-3</v>
      </c>
      <c r="AM76" s="22">
        <f>67129+46130</f>
        <v>113259</v>
      </c>
      <c r="AN76" s="22">
        <f t="shared" si="28"/>
        <v>0.74087471871892829</v>
      </c>
      <c r="AO76" s="23">
        <v>-1.6475733484427289E-2</v>
      </c>
      <c r="AP76" s="33">
        <v>2.2544279E-2</v>
      </c>
      <c r="AQ76" s="23">
        <v>0.35303635047299414</v>
      </c>
      <c r="AR76" s="23">
        <v>152872</v>
      </c>
      <c r="AS76" s="23">
        <v>5.1843279474197814</v>
      </c>
      <c r="AT76" s="23">
        <v>5.1843535147917335</v>
      </c>
      <c r="AU76" s="22">
        <v>1.5309999999999999</v>
      </c>
      <c r="AV76" s="22">
        <v>0.75515613559999994</v>
      </c>
      <c r="AW76" s="22">
        <v>31.8</v>
      </c>
      <c r="AX76" s="22">
        <v>43.7</v>
      </c>
      <c r="AY76" s="22">
        <v>1</v>
      </c>
      <c r="AZ76" s="24">
        <v>112954</v>
      </c>
      <c r="BA76" s="24">
        <f t="shared" si="29"/>
        <v>5.0529016150453874</v>
      </c>
      <c r="BB76" s="24">
        <v>97827</v>
      </c>
      <c r="BC76" s="24">
        <f t="shared" si="30"/>
        <v>4.9904587354900185</v>
      </c>
      <c r="BD76" s="24">
        <v>15127</v>
      </c>
      <c r="BE76" s="23">
        <v>-1861</v>
      </c>
      <c r="BF76" s="23">
        <f t="shared" si="32"/>
        <v>4071</v>
      </c>
      <c r="BG76" s="23">
        <v>-1.2962903996178952</v>
      </c>
      <c r="BH76" s="23">
        <v>-1.2173583128368831E-2</v>
      </c>
      <c r="BI76" s="23">
        <v>4.1084241992137678E-2</v>
      </c>
      <c r="BJ76" s="23">
        <v>2.4907930974080256E-2</v>
      </c>
      <c r="BK76" s="23">
        <v>-1.2963078430581365</v>
      </c>
      <c r="BL76" s="23">
        <v>6281</v>
      </c>
      <c r="BM76" s="22">
        <v>6610</v>
      </c>
      <c r="BN76" s="22">
        <f t="shared" si="33"/>
        <v>2237.5</v>
      </c>
      <c r="BO76" s="22">
        <v>3.8202014594856402</v>
      </c>
      <c r="BP76" s="22">
        <v>5.8519397276767533E-2</v>
      </c>
      <c r="BQ76" s="22">
        <v>3.042499817304813E-2</v>
      </c>
      <c r="BR76" s="22">
        <v>3.0787998949340367E-3</v>
      </c>
      <c r="BS76" s="22">
        <v>-3051</v>
      </c>
      <c r="BT76" s="22">
        <v>3.4844422076424069</v>
      </c>
      <c r="BU76" s="22">
        <v>1.9957873253440787E-2</v>
      </c>
      <c r="BV76" s="23">
        <v>8886</v>
      </c>
      <c r="BW76" s="22">
        <v>29914</v>
      </c>
      <c r="BX76" s="22">
        <v>16.670000000000002</v>
      </c>
      <c r="BY76" s="22">
        <v>1.2219355998280053</v>
      </c>
      <c r="BZ76" s="25">
        <v>-0.27332170880557977</v>
      </c>
      <c r="CA76" s="23">
        <v>2.2271907292323895E-2</v>
      </c>
      <c r="CB76" s="23">
        <v>2.2271907292323894</v>
      </c>
      <c r="CC76" s="23">
        <v>0.34775741016664086</v>
      </c>
      <c r="CD76" s="23">
        <v>3.3457083478289622E-2</v>
      </c>
      <c r="CE76" s="23">
        <v>2.5456269123226564E-2</v>
      </c>
      <c r="CF76" s="23">
        <v>2.0432000000000001</v>
      </c>
      <c r="CG76" s="23">
        <f t="shared" si="31"/>
        <v>0.71451720629613791</v>
      </c>
      <c r="CH76" s="26">
        <v>23.4</v>
      </c>
      <c r="CI76" s="26">
        <v>17.75</v>
      </c>
      <c r="CJ76" s="26">
        <v>1.3692158574101427</v>
      </c>
      <c r="CK76" s="26">
        <v>1.249198357391113</v>
      </c>
      <c r="CL76" s="26">
        <v>0.31830985915492949</v>
      </c>
      <c r="CM76" s="27">
        <v>25.275999999999993</v>
      </c>
      <c r="CN76" s="27">
        <v>6.7666408261623831E-2</v>
      </c>
      <c r="CO76" s="27">
        <v>14.393934426229498</v>
      </c>
      <c r="CP76" s="27">
        <v>9.2697401180433139E-2</v>
      </c>
      <c r="CQ76" s="27">
        <v>94.493822393822356</v>
      </c>
      <c r="CR76" s="27">
        <v>7.2398848134946573E-3</v>
      </c>
      <c r="CS76" s="27">
        <v>1.0720384615384604</v>
      </c>
      <c r="CT76" s="27">
        <v>1.0575095785440605</v>
      </c>
      <c r="CU76" s="27">
        <v>1.37387720065881E-2</v>
      </c>
      <c r="CV76" s="27">
        <v>1.268846153846154</v>
      </c>
      <c r="CW76" s="27">
        <v>2.1034089675745258</v>
      </c>
      <c r="CX76" s="28">
        <v>0.92</v>
      </c>
      <c r="CY76" s="28">
        <v>0.92</v>
      </c>
      <c r="CZ76" s="29">
        <v>29.99596154</v>
      </c>
      <c r="DA76" s="27">
        <v>0.13600952487112158</v>
      </c>
      <c r="DB76" s="27">
        <v>1.9709466682529033</v>
      </c>
      <c r="DC76" s="27">
        <v>3.3676575479931978</v>
      </c>
      <c r="DD76" s="27">
        <v>1</v>
      </c>
      <c r="DE76" s="27">
        <v>1.2</v>
      </c>
      <c r="DF76" s="27">
        <v>101.1</v>
      </c>
      <c r="DG76" s="28">
        <v>4.6161101260264257</v>
      </c>
      <c r="DH76" s="27">
        <v>1.0118</v>
      </c>
      <c r="DI76" s="27">
        <v>4.3</v>
      </c>
      <c r="DJ76" s="27">
        <v>1.5</v>
      </c>
      <c r="DK76" s="27">
        <v>2.7</v>
      </c>
      <c r="DL76" s="27">
        <v>1.6688062333233E-2</v>
      </c>
      <c r="DM76" s="27">
        <v>0.77139999999999997</v>
      </c>
      <c r="DN76" s="28">
        <v>0.69699999999999995</v>
      </c>
      <c r="DO76" s="28">
        <v>-2.8165086447295033E-2</v>
      </c>
      <c r="DP76" s="28">
        <f>(DM76-DM75)/DM75</f>
        <v>3.2525766296345855E-2</v>
      </c>
      <c r="DQ76" s="27">
        <v>0.10270000000000001</v>
      </c>
      <c r="DR76" s="27">
        <v>2.4180879115385762E-2</v>
      </c>
      <c r="DS76" s="27">
        <v>2.0079372103467861E-2</v>
      </c>
      <c r="DT76" s="27">
        <v>3.4239891893164551E-2</v>
      </c>
      <c r="DU76" s="30">
        <v>8.9420310000000001</v>
      </c>
      <c r="DV76">
        <v>2.2000000000000002</v>
      </c>
      <c r="DW76">
        <v>2.4</v>
      </c>
      <c r="DX76">
        <v>102.1</v>
      </c>
      <c r="DY76">
        <v>102.1</v>
      </c>
      <c r="DZ76">
        <v>0.9</v>
      </c>
      <c r="EA76">
        <v>0.7</v>
      </c>
      <c r="EB76">
        <v>1.494866</v>
      </c>
    </row>
    <row r="77" spans="1:132" ht="18">
      <c r="A77" s="14" t="s">
        <v>149</v>
      </c>
      <c r="B77" s="14">
        <v>11</v>
      </c>
      <c r="C77" s="14" t="s">
        <v>150</v>
      </c>
      <c r="D77" s="14" t="s">
        <v>151</v>
      </c>
      <c r="E77" s="14" t="s">
        <v>143</v>
      </c>
      <c r="F77" s="15">
        <v>36664</v>
      </c>
      <c r="G77" s="15">
        <v>4.56423984423673</v>
      </c>
      <c r="H77" s="15">
        <v>24138.6</v>
      </c>
      <c r="I77" s="15">
        <v>0</v>
      </c>
      <c r="J77" s="16">
        <v>12525.4</v>
      </c>
      <c r="K77" s="16">
        <v>1</v>
      </c>
      <c r="L77" s="17">
        <v>0.26109125090795154</v>
      </c>
      <c r="M77" s="18">
        <v>30</v>
      </c>
      <c r="N77" s="18">
        <v>39</v>
      </c>
      <c r="O77" s="18">
        <v>0.76824724423312085</v>
      </c>
      <c r="P77" s="18">
        <v>1</v>
      </c>
      <c r="Q77" s="18">
        <v>1</v>
      </c>
      <c r="R77" s="18">
        <v>30</v>
      </c>
      <c r="S77" s="18">
        <v>2</v>
      </c>
      <c r="T77" s="19">
        <v>1424</v>
      </c>
      <c r="U77" s="19">
        <v>3.1535099893008374</v>
      </c>
      <c r="V77" s="20">
        <v>5050</v>
      </c>
      <c r="W77" s="20">
        <v>3.7032913781186614</v>
      </c>
      <c r="X77" s="20">
        <v>7.0058127436427448E-2</v>
      </c>
      <c r="Y77" s="20">
        <v>4.7372939560000001E-2</v>
      </c>
      <c r="Z77" s="20">
        <f t="shared" si="27"/>
        <v>-1.3244696658298249</v>
      </c>
      <c r="AA77" s="20">
        <v>0.13548992030000001</v>
      </c>
      <c r="AB77" s="20">
        <v>289</v>
      </c>
      <c r="AC77" s="20">
        <v>2759</v>
      </c>
      <c r="AE77" s="21"/>
      <c r="AF77" s="21"/>
      <c r="AG77" s="22">
        <v>2.7060515858886534E-4</v>
      </c>
      <c r="AH77" s="22">
        <v>38</v>
      </c>
      <c r="AI77" s="22">
        <v>0.69295963319999998</v>
      </c>
      <c r="AJ77" s="23">
        <v>72083</v>
      </c>
      <c r="AK77" s="23">
        <f t="shared" si="10"/>
        <v>4.8578328531143633</v>
      </c>
      <c r="AL77" s="24">
        <v>1.0780283999999999E-2</v>
      </c>
      <c r="AM77" s="22">
        <f>65001+36606</f>
        <v>101607</v>
      </c>
      <c r="AN77" s="22">
        <f t="shared" si="28"/>
        <v>0.7235625881247062</v>
      </c>
      <c r="AO77" s="23">
        <v>1.9993489435473494E-2</v>
      </c>
      <c r="AP77" s="33">
        <v>1.6723691999999998E-2</v>
      </c>
      <c r="AQ77" s="23">
        <v>0.22333216055667346</v>
      </c>
      <c r="AR77" s="23">
        <v>140426</v>
      </c>
      <c r="AS77" s="23">
        <v>5.1474475252520113</v>
      </c>
      <c r="AT77" s="23">
        <v>5.1843279474197814</v>
      </c>
      <c r="AU77" s="22">
        <v>1.337</v>
      </c>
      <c r="AV77" s="22">
        <v>0.66833251760000001</v>
      </c>
      <c r="AW77" s="22">
        <v>26.9</v>
      </c>
      <c r="AX77" s="22">
        <v>31.8</v>
      </c>
      <c r="AY77" s="22">
        <v>1</v>
      </c>
      <c r="AZ77" s="24">
        <v>132093</v>
      </c>
      <c r="BA77" s="24">
        <f t="shared" si="29"/>
        <v>5.1208798036711292</v>
      </c>
      <c r="BB77" s="24">
        <v>115285</v>
      </c>
      <c r="BC77" s="24">
        <f t="shared" si="30"/>
        <v>5.0617728039034313</v>
      </c>
      <c r="BD77" s="24">
        <v>16808</v>
      </c>
      <c r="BE77" s="23">
        <v>2641</v>
      </c>
      <c r="BF77" s="23">
        <f t="shared" si="32"/>
        <v>2251</v>
      </c>
      <c r="BG77" s="23">
        <v>-2.4191295002686726</v>
      </c>
      <c r="BH77" s="23">
        <v>1.8807058521926139E-2</v>
      </c>
      <c r="BI77" s="23">
        <v>-1.2173583128368831E-2</v>
      </c>
      <c r="BJ77" s="23">
        <v>2.4907930974080256E-2</v>
      </c>
      <c r="BK77" s="23">
        <v>-2.544907388696342</v>
      </c>
      <c r="BL77" s="23">
        <v>-1861</v>
      </c>
      <c r="BM77" s="22">
        <v>8808</v>
      </c>
      <c r="BN77" s="22">
        <f t="shared" si="33"/>
        <v>1099</v>
      </c>
      <c r="BO77" s="22">
        <v>3.9448773059636952</v>
      </c>
      <c r="BP77" s="22">
        <v>6.6680293429629126E-2</v>
      </c>
      <c r="BQ77" s="22">
        <v>4.0804480764307961E-3</v>
      </c>
      <c r="BR77" s="22">
        <v>3.042499817304813E-2</v>
      </c>
      <c r="BS77" s="22">
        <v>-3018</v>
      </c>
      <c r="BT77" s="22">
        <v>3.4797192354395712</v>
      </c>
      <c r="BU77" s="22">
        <v>2.1491746542663039E-2</v>
      </c>
      <c r="BV77" s="23">
        <v>9866</v>
      </c>
      <c r="BW77" s="22">
        <v>25944</v>
      </c>
      <c r="BX77" s="22">
        <v>14.09</v>
      </c>
      <c r="BY77" s="22">
        <v>1.1489109931093564</v>
      </c>
      <c r="BZ77" s="25">
        <v>-0.15476904619076196</v>
      </c>
      <c r="CA77" s="23">
        <v>2.5456269123226564E-2</v>
      </c>
      <c r="CB77" s="23">
        <v>2.5456269123226565</v>
      </c>
      <c r="CC77" s="23">
        <v>0.40579475368035151</v>
      </c>
      <c r="CD77" s="23">
        <v>2.2271907292323895E-2</v>
      </c>
      <c r="CE77" s="23">
        <v>1.6811412049824882E-2</v>
      </c>
      <c r="CF77" s="23">
        <v>1.4504041146216018</v>
      </c>
      <c r="CG77" s="23">
        <f t="shared" si="31"/>
        <v>0.37184221734196082</v>
      </c>
      <c r="CH77" s="26">
        <v>18.02</v>
      </c>
      <c r="CI77" s="26">
        <v>23.4</v>
      </c>
      <c r="CJ77" s="26">
        <v>1.2557547866430441</v>
      </c>
      <c r="CK77" s="26">
        <v>1.3692158574101427</v>
      </c>
      <c r="CL77" s="26">
        <v>-0.22991452991452987</v>
      </c>
      <c r="CM77" s="27">
        <v>18.608429118773955</v>
      </c>
      <c r="CN77" s="27">
        <v>-0.26379058716672099</v>
      </c>
      <c r="CO77" s="27">
        <v>10.244782608695646</v>
      </c>
      <c r="CP77" s="27">
        <v>-0.28825696259759365</v>
      </c>
      <c r="CQ77" s="27">
        <v>71.254230769230816</v>
      </c>
      <c r="CR77" s="27">
        <v>-0.24593768180670883</v>
      </c>
      <c r="CS77" s="27">
        <v>0.83494252873563157</v>
      </c>
      <c r="CT77" s="27">
        <v>1.0720384615384604</v>
      </c>
      <c r="CU77" s="27">
        <v>-0.22116364413136569</v>
      </c>
      <c r="CV77" s="27">
        <v>0.95088122605364045</v>
      </c>
      <c r="CW77" s="27">
        <v>1.9781262728880398</v>
      </c>
      <c r="CX77" s="28">
        <v>0.54</v>
      </c>
      <c r="CY77" s="28">
        <v>0.92</v>
      </c>
      <c r="CZ77" s="29">
        <v>24.56237548</v>
      </c>
      <c r="DA77" s="27">
        <v>-0.18114392008251654</v>
      </c>
      <c r="DB77" s="27">
        <v>1.7682050254071211</v>
      </c>
      <c r="DC77" s="27">
        <v>1.9709466682529033</v>
      </c>
      <c r="DD77" s="27">
        <v>1</v>
      </c>
      <c r="DE77" s="27">
        <v>0.9</v>
      </c>
      <c r="DF77" s="27">
        <v>102.7</v>
      </c>
      <c r="DG77" s="28">
        <v>4.6318121169345128</v>
      </c>
      <c r="DH77" s="27">
        <v>1.0250900000000001</v>
      </c>
      <c r="DI77" s="27">
        <v>4.3</v>
      </c>
      <c r="DJ77" s="27">
        <v>0</v>
      </c>
      <c r="DK77" s="27">
        <v>1.9</v>
      </c>
      <c r="DL77" s="27">
        <v>1.6829215601661535E-2</v>
      </c>
      <c r="DM77" s="27">
        <v>0.75800000000000001</v>
      </c>
      <c r="DN77" s="28">
        <v>0.74839999999999995</v>
      </c>
      <c r="DO77" s="28">
        <v>7.3744619799139169E-2</v>
      </c>
      <c r="DP77" s="28">
        <f t="shared" si="34"/>
        <v>-1.7371013741249636E-2</v>
      </c>
      <c r="DQ77" s="27">
        <v>8.4699999999999998E-2</v>
      </c>
      <c r="DR77" s="27">
        <v>2.0079372103467861E-2</v>
      </c>
      <c r="DS77" s="27">
        <v>1.50675227484701E-2</v>
      </c>
      <c r="DT77" s="27">
        <v>2.4180879115385762E-2</v>
      </c>
      <c r="DU77" s="30">
        <v>8.0652849999999994</v>
      </c>
      <c r="DV77">
        <v>0.9</v>
      </c>
      <c r="DW77">
        <v>1.4</v>
      </c>
      <c r="DX77">
        <v>103.9</v>
      </c>
      <c r="DY77">
        <v>103.8</v>
      </c>
      <c r="DZ77">
        <v>0.1</v>
      </c>
      <c r="EA77">
        <v>0</v>
      </c>
      <c r="EB77">
        <v>1.826854</v>
      </c>
    </row>
    <row r="78" spans="1:132" ht="18">
      <c r="A78" s="14" t="s">
        <v>149</v>
      </c>
      <c r="B78" s="14">
        <v>12</v>
      </c>
      <c r="C78" s="14" t="s">
        <v>150</v>
      </c>
      <c r="D78" s="14" t="s">
        <v>151</v>
      </c>
      <c r="E78" s="14" t="s">
        <v>143</v>
      </c>
      <c r="F78" s="15">
        <v>31438.2</v>
      </c>
      <c r="G78" s="15">
        <v>4.4974576724676867</v>
      </c>
      <c r="H78" s="15">
        <v>21548.5</v>
      </c>
      <c r="I78" s="15">
        <v>0</v>
      </c>
      <c r="J78" s="16">
        <v>9889.7000000000007</v>
      </c>
      <c r="K78" s="16">
        <v>1</v>
      </c>
      <c r="L78" s="17">
        <v>0.23757424620267514</v>
      </c>
      <c r="M78" s="18">
        <v>30</v>
      </c>
      <c r="N78" s="18">
        <v>39</v>
      </c>
      <c r="O78" s="18">
        <v>0.76824724423312085</v>
      </c>
      <c r="P78" s="18">
        <v>1</v>
      </c>
      <c r="Q78" s="18">
        <v>1</v>
      </c>
      <c r="R78" s="18">
        <v>30</v>
      </c>
      <c r="S78" s="18">
        <v>2</v>
      </c>
      <c r="T78" s="19">
        <v>911</v>
      </c>
      <c r="U78" s="19">
        <v>2.9595183769729982</v>
      </c>
      <c r="V78" s="20">
        <v>5028</v>
      </c>
      <c r="W78" s="20">
        <v>3.7013952690139202</v>
      </c>
      <c r="X78" s="20">
        <v>8.1986726890276709E-2</v>
      </c>
      <c r="Y78" s="20">
        <v>4.9285223250000003E-2</v>
      </c>
      <c r="Z78" s="20">
        <f t="shared" si="27"/>
        <v>-1.3072832718573428</v>
      </c>
      <c r="AA78" s="20">
        <v>0.64042089989999995</v>
      </c>
      <c r="AB78" s="20">
        <v>3530</v>
      </c>
      <c r="AC78" s="20">
        <v>2796</v>
      </c>
      <c r="AE78" s="21"/>
      <c r="AF78" s="21"/>
      <c r="AG78" s="22">
        <v>3.1738834731353437E-4</v>
      </c>
      <c r="AH78" s="22">
        <v>42</v>
      </c>
      <c r="AI78" s="22">
        <v>0.69872809650000001</v>
      </c>
      <c r="AJ78" s="23">
        <v>61327</v>
      </c>
      <c r="AK78" s="23">
        <f t="shared" si="10"/>
        <v>4.7876517203484665</v>
      </c>
      <c r="AL78" s="24">
        <v>7.611456E-3</v>
      </c>
      <c r="AM78" s="22">
        <f>63179+32513</f>
        <v>95692</v>
      </c>
      <c r="AN78" s="22">
        <f t="shared" si="28"/>
        <v>0.72313156502682685</v>
      </c>
      <c r="AO78" s="23">
        <v>2.054508388476706E-2</v>
      </c>
      <c r="AP78" s="33">
        <v>7.2558978999999996E-2</v>
      </c>
      <c r="AQ78" s="23">
        <v>0.86069116300207027</v>
      </c>
      <c r="AR78" s="23">
        <v>132330</v>
      </c>
      <c r="AS78" s="23">
        <v>5.1216583124980701</v>
      </c>
      <c r="AT78" s="23">
        <v>5.1474475252520113</v>
      </c>
      <c r="AU78" s="22">
        <v>1.206</v>
      </c>
      <c r="AV78" s="22">
        <v>0.62023036190000003</v>
      </c>
      <c r="AW78" s="22">
        <v>25.6</v>
      </c>
      <c r="AX78" s="22">
        <v>26.9</v>
      </c>
      <c r="AY78" s="22">
        <v>1</v>
      </c>
      <c r="AZ78" s="24">
        <v>119688</v>
      </c>
      <c r="BA78" s="24">
        <f t="shared" si="29"/>
        <v>5.0780506099299689</v>
      </c>
      <c r="BB78" s="24">
        <v>105719</v>
      </c>
      <c r="BC78" s="24">
        <f t="shared" si="30"/>
        <v>5.0241530464712518</v>
      </c>
      <c r="BD78" s="24">
        <v>13969</v>
      </c>
      <c r="BE78" s="23">
        <v>2459</v>
      </c>
      <c r="BF78" s="23">
        <f t="shared" si="32"/>
        <v>91</v>
      </c>
      <c r="BG78" s="23">
        <v>-6.8913290420295342E-2</v>
      </c>
      <c r="BH78" s="23">
        <v>1.8582332048666213E-2</v>
      </c>
      <c r="BI78" s="23">
        <v>1.8807058521926139E-2</v>
      </c>
      <c r="BJ78" s="23">
        <v>2.4907930974080256E-2</v>
      </c>
      <c r="BK78" s="23">
        <v>-1.1949049501703271E-2</v>
      </c>
      <c r="BL78" s="23">
        <v>2641</v>
      </c>
      <c r="BM78" s="22">
        <v>6449</v>
      </c>
      <c r="BN78" s="22">
        <f t="shared" si="33"/>
        <v>1179.5</v>
      </c>
      <c r="BO78" s="22">
        <v>3.8094923769373419</v>
      </c>
      <c r="BP78" s="22">
        <v>5.3881759240692467E-2</v>
      </c>
      <c r="BQ78" s="22">
        <v>6.3992670944683291E-3</v>
      </c>
      <c r="BR78" s="22">
        <v>4.0804480764307961E-3</v>
      </c>
      <c r="BS78" s="22">
        <v>-682</v>
      </c>
      <c r="BT78" s="22">
        <v>2.8337843746564788</v>
      </c>
      <c r="BU78" s="22">
        <v>5.15378221113882E-3</v>
      </c>
      <c r="BV78" s="23">
        <v>4674</v>
      </c>
      <c r="BW78" s="22">
        <v>22724</v>
      </c>
      <c r="BX78" s="22">
        <v>13.42</v>
      </c>
      <c r="BY78" s="22">
        <v>1.1277525158329733</v>
      </c>
      <c r="BZ78" s="25">
        <v>-4.7551454932576294E-2</v>
      </c>
      <c r="CA78" s="23">
        <v>1.6811412049824882E-2</v>
      </c>
      <c r="CB78" s="23">
        <v>1.6811412049824881</v>
      </c>
      <c r="CC78" s="23">
        <v>0.22560419289765496</v>
      </c>
      <c r="CD78" s="23">
        <v>2.5456269123226564E-2</v>
      </c>
      <c r="CE78" s="23">
        <v>2.6125542330590914E-2</v>
      </c>
      <c r="CF78" s="23">
        <v>1.2622673434856175</v>
      </c>
      <c r="CG78" s="23">
        <f t="shared" si="31"/>
        <v>0.23290958279766261</v>
      </c>
      <c r="CH78" s="26">
        <v>13.72</v>
      </c>
      <c r="CI78" s="26">
        <v>18.02</v>
      </c>
      <c r="CJ78" s="26">
        <v>1.1373541113707328</v>
      </c>
      <c r="CK78" s="26">
        <v>1.2557547866430441</v>
      </c>
      <c r="CL78" s="26">
        <v>-0.23862375138734734</v>
      </c>
      <c r="CM78" s="27">
        <v>14.834099616858232</v>
      </c>
      <c r="CN78" s="27">
        <v>-0.20282902322516949</v>
      </c>
      <c r="CO78" s="27">
        <v>8.3248809523809495</v>
      </c>
      <c r="CP78" s="27">
        <v>-0.18740286930882333</v>
      </c>
      <c r="CQ78" s="27">
        <v>73.031538461538446</v>
      </c>
      <c r="CR78" s="27">
        <v>2.494318825872599E-2</v>
      </c>
      <c r="CS78" s="27">
        <v>0.8023754789272034</v>
      </c>
      <c r="CT78" s="27">
        <v>0.83494252873563157</v>
      </c>
      <c r="CU78" s="27">
        <v>-3.9005139500733109E-2</v>
      </c>
      <c r="CV78" s="27">
        <v>0.96896551724137914</v>
      </c>
      <c r="CW78" s="27">
        <v>1.9863083220061237</v>
      </c>
      <c r="CX78" s="28">
        <v>0.62</v>
      </c>
      <c r="CY78" s="28">
        <v>0.54</v>
      </c>
      <c r="CZ78" s="29">
        <v>18.565019159999999</v>
      </c>
      <c r="DA78" s="27">
        <v>-0.24416841623821645</v>
      </c>
      <c r="DB78" s="27">
        <v>1.1698744465812936</v>
      </c>
      <c r="DC78" s="27">
        <v>1.7682050254071211</v>
      </c>
      <c r="DD78" s="27">
        <v>1</v>
      </c>
      <c r="DE78" s="27">
        <v>1.4</v>
      </c>
      <c r="DF78" s="27">
        <v>104.8</v>
      </c>
      <c r="DG78" s="28">
        <v>4.6520537718869415</v>
      </c>
      <c r="DH78" s="27">
        <v>1.03712</v>
      </c>
      <c r="DI78" s="27">
        <v>4.3</v>
      </c>
      <c r="DJ78" s="27">
        <v>-0.5</v>
      </c>
      <c r="DK78" s="27">
        <v>1.3</v>
      </c>
      <c r="DL78" s="27">
        <v>1.2152522197973097E-2</v>
      </c>
      <c r="DM78" s="27">
        <v>0.72770000000000001</v>
      </c>
      <c r="DN78" s="28">
        <v>0.77380000000000004</v>
      </c>
      <c r="DO78" s="28">
        <v>3.3939070016034328E-2</v>
      </c>
      <c r="DP78" s="28">
        <f>(DM78-DM77)/DM77</f>
        <v>-3.9973614775725586E-2</v>
      </c>
      <c r="DQ78" s="27">
        <v>5.8499999999999996E-2</v>
      </c>
      <c r="DR78" s="27">
        <v>1.50675227484701E-2</v>
      </c>
      <c r="DS78" s="27">
        <v>3.1335239457349999E-2</v>
      </c>
      <c r="DT78" s="27">
        <v>2.0079372103467861E-2</v>
      </c>
      <c r="DU78" s="30">
        <v>7.3719619999999999</v>
      </c>
      <c r="DV78">
        <v>1.5</v>
      </c>
      <c r="DW78">
        <v>2.1</v>
      </c>
      <c r="DX78">
        <v>105.4</v>
      </c>
      <c r="DY78">
        <v>105.7</v>
      </c>
      <c r="DZ78">
        <v>0.2</v>
      </c>
      <c r="EA78">
        <v>0.8</v>
      </c>
      <c r="EB78">
        <v>1.343728</v>
      </c>
    </row>
    <row r="79" spans="1:132" ht="18">
      <c r="A79" s="14" t="s">
        <v>149</v>
      </c>
      <c r="B79" s="14">
        <v>13</v>
      </c>
      <c r="C79" s="14" t="s">
        <v>150</v>
      </c>
      <c r="D79" s="14" t="s">
        <v>151</v>
      </c>
      <c r="E79" s="14" t="s">
        <v>143</v>
      </c>
      <c r="F79" s="15">
        <v>25325.1</v>
      </c>
      <c r="G79" s="15">
        <v>4.4035511689133626</v>
      </c>
      <c r="H79" s="15">
        <v>17113.900000000001</v>
      </c>
      <c r="I79" s="15">
        <v>0</v>
      </c>
      <c r="J79" s="16">
        <v>8211.2000000000007</v>
      </c>
      <c r="K79" s="16">
        <v>1</v>
      </c>
      <c r="L79" s="17">
        <v>0.2014885830217201</v>
      </c>
      <c r="M79" s="18">
        <v>30</v>
      </c>
      <c r="N79" s="18">
        <v>39</v>
      </c>
      <c r="O79" s="18">
        <v>0.76824724423312085</v>
      </c>
      <c r="P79" s="18">
        <v>1</v>
      </c>
      <c r="Q79" s="18">
        <v>1</v>
      </c>
      <c r="R79" s="18">
        <v>30</v>
      </c>
      <c r="S79" s="18">
        <v>2</v>
      </c>
      <c r="T79" s="19">
        <v>2806</v>
      </c>
      <c r="U79" s="19">
        <v>3.448087666692341</v>
      </c>
      <c r="V79" s="20">
        <v>5343</v>
      </c>
      <c r="W79" s="20">
        <v>3.7277851741829058</v>
      </c>
      <c r="X79" s="20">
        <v>9.1328649812830107E-2</v>
      </c>
      <c r="Y79" s="20">
        <v>5.2369293439999999E-2</v>
      </c>
      <c r="Z79" s="20">
        <f t="shared" si="27"/>
        <v>-1.2809232855061741</v>
      </c>
      <c r="AA79" s="20">
        <v>0.30210571549999998</v>
      </c>
      <c r="AB79" s="20">
        <v>703</v>
      </c>
      <c r="AC79" s="20">
        <v>2417</v>
      </c>
      <c r="AE79" s="21"/>
      <c r="AF79" s="21"/>
      <c r="AG79" s="22">
        <v>2.3868247275041769E-4</v>
      </c>
      <c r="AH79" s="22">
        <v>30</v>
      </c>
      <c r="AI79" s="22">
        <v>1.0257178149999999</v>
      </c>
      <c r="AJ79" s="23">
        <v>58503</v>
      </c>
      <c r="AK79" s="23">
        <f t="shared" si="10"/>
        <v>4.767178137023028</v>
      </c>
      <c r="AL79" s="24">
        <v>2.5153286E-2</v>
      </c>
      <c r="AM79" s="22">
        <f>63335+35642</f>
        <v>98977</v>
      </c>
      <c r="AN79" s="22">
        <f>AM79/AR79</f>
        <v>0.78746917018060303</v>
      </c>
      <c r="AO79" s="23">
        <v>-2.8057657140808205E-2</v>
      </c>
      <c r="AP79" s="33">
        <v>7.1126720000000004E-2</v>
      </c>
      <c r="AQ79" s="23">
        <v>0.8520327817226625</v>
      </c>
      <c r="AR79" s="23">
        <v>125690</v>
      </c>
      <c r="AS79" s="23">
        <v>5.0993007262334631</v>
      </c>
      <c r="AT79" s="23">
        <v>5.1216583124980701</v>
      </c>
      <c r="AU79" s="22">
        <v>1.6579999999999999</v>
      </c>
      <c r="AV79" s="22">
        <v>0.73623329469999998</v>
      </c>
      <c r="AW79" s="22">
        <v>27.4</v>
      </c>
      <c r="AX79" s="22">
        <v>25.6</v>
      </c>
      <c r="AY79" s="22">
        <v>1</v>
      </c>
      <c r="AZ79" s="24">
        <v>111556</v>
      </c>
      <c r="BA79" s="24">
        <f t="shared" si="29"/>
        <v>5.0474929336231291</v>
      </c>
      <c r="BB79" s="24">
        <v>98496</v>
      </c>
      <c r="BC79" s="24">
        <f t="shared" si="30"/>
        <v>4.9934185938153659</v>
      </c>
      <c r="BD79" s="24">
        <v>13060</v>
      </c>
      <c r="BE79" s="23">
        <v>-3130</v>
      </c>
      <c r="BF79" s="23">
        <f t="shared" si="32"/>
        <v>2794.5</v>
      </c>
      <c r="BG79" s="23">
        <v>-2.2728751525010167</v>
      </c>
      <c r="BH79" s="23">
        <v>-2.4902537990293579E-2</v>
      </c>
      <c r="BI79" s="23">
        <v>1.8582332048666213E-2</v>
      </c>
      <c r="BJ79" s="23">
        <v>2.4907930974080256E-2</v>
      </c>
      <c r="BK79" s="23">
        <v>-2.34011909404455</v>
      </c>
      <c r="BL79" s="23">
        <v>2459</v>
      </c>
      <c r="BM79" s="22">
        <v>6478</v>
      </c>
      <c r="BN79" s="22">
        <f>STDEVP(BM78:BM79)</f>
        <v>14.5</v>
      </c>
      <c r="BO79" s="22">
        <v>3.8114409436741581</v>
      </c>
      <c r="BP79" s="22">
        <v>5.8069489762988993E-2</v>
      </c>
      <c r="BQ79" s="22">
        <v>2.093865261148263E-3</v>
      </c>
      <c r="BR79" s="22">
        <v>6.3992670944683291E-3</v>
      </c>
      <c r="BS79" s="22">
        <v>-3235</v>
      </c>
      <c r="BT79" s="22">
        <v>3.5098742850047193</v>
      </c>
      <c r="BU79" s="22">
        <v>2.5737926644920042E-2</v>
      </c>
      <c r="BV79" s="23">
        <v>7846</v>
      </c>
      <c r="BW79" s="22">
        <v>19667</v>
      </c>
      <c r="BX79" s="22">
        <v>14.2</v>
      </c>
      <c r="BY79" s="22">
        <v>1.1522883443830565</v>
      </c>
      <c r="BZ79" s="25">
        <v>5.8122205663189222E-2</v>
      </c>
      <c r="CA79" s="23">
        <v>2.6125542330590914E-2</v>
      </c>
      <c r="CB79" s="23">
        <v>2.6125542330590914</v>
      </c>
      <c r="CC79" s="23">
        <v>0.41706531457320922</v>
      </c>
      <c r="CD79" s="23">
        <v>1.6811412049824882E-2</v>
      </c>
      <c r="CE79" s="23">
        <v>1.9419039999999999E-2</v>
      </c>
      <c r="CF79" s="23">
        <v>1.2641046606704824</v>
      </c>
      <c r="CG79" s="23">
        <f t="shared" si="31"/>
        <v>0.23436409346019493</v>
      </c>
      <c r="CH79" s="26">
        <v>19.2</v>
      </c>
      <c r="CI79" s="26">
        <v>13.72</v>
      </c>
      <c r="CJ79" s="26">
        <v>1.2833012287035497</v>
      </c>
      <c r="CK79" s="26">
        <v>1.1373541113707328</v>
      </c>
      <c r="CL79" s="26">
        <v>0.39941690962099113</v>
      </c>
      <c r="CM79" s="27">
        <v>14.883180076628348</v>
      </c>
      <c r="CN79" s="27">
        <v>3.3086241186042575E-3</v>
      </c>
      <c r="CO79" s="27">
        <v>6.9159523809523806</v>
      </c>
      <c r="CP79" s="27">
        <v>-0.16924308941926786</v>
      </c>
      <c r="CQ79" s="27">
        <v>64.583076923076902</v>
      </c>
      <c r="CR79" s="27">
        <v>-0.11568237115682381</v>
      </c>
      <c r="CS79" s="27">
        <v>0.66574712643678124</v>
      </c>
      <c r="CT79" s="27">
        <v>0.8023754789272034</v>
      </c>
      <c r="CU79" s="27">
        <v>-0.1702798204564997</v>
      </c>
      <c r="CV79" s="27">
        <v>0.67685823754789287</v>
      </c>
      <c r="CW79" s="27">
        <v>1.8304977187626064</v>
      </c>
      <c r="CX79" s="28">
        <v>1.33</v>
      </c>
      <c r="CY79" s="28">
        <v>0.62</v>
      </c>
      <c r="CZ79" s="29">
        <v>18.278045980000002</v>
      </c>
      <c r="DA79" s="27">
        <v>-1.5457736807420394E-2</v>
      </c>
      <c r="DC79" s="27">
        <v>1.1698744465812936</v>
      </c>
      <c r="DD79" s="27">
        <v>1</v>
      </c>
      <c r="DE79" s="27">
        <v>1</v>
      </c>
      <c r="DF79" s="27">
        <v>106.6</v>
      </c>
      <c r="DG79" s="28">
        <v>4.6690835117317437</v>
      </c>
      <c r="DH79" s="27">
        <v>1.04853</v>
      </c>
      <c r="DI79" s="27">
        <v>4.3</v>
      </c>
      <c r="DJ79" s="27">
        <v>-0.6</v>
      </c>
      <c r="DK79" s="27">
        <v>1</v>
      </c>
      <c r="DL79" s="27">
        <v>1.7108786898118553E-2</v>
      </c>
      <c r="DM79" s="27">
        <v>0.8266</v>
      </c>
      <c r="DN79" s="28">
        <v>0.75860000000000005</v>
      </c>
      <c r="DO79" s="28">
        <v>-1.9643318686999211E-2</v>
      </c>
      <c r="DP79" s="28">
        <f t="shared" si="34"/>
        <v>0.13590765425312626</v>
      </c>
      <c r="DQ79" s="27">
        <v>0.10860000000000003</v>
      </c>
      <c r="DR79" s="27">
        <v>3.1335239457349999E-2</v>
      </c>
      <c r="DS79" s="27">
        <v>2.7611694356583942E-2</v>
      </c>
      <c r="DT79" s="27">
        <v>1.50675227484701E-2</v>
      </c>
      <c r="DU79" s="30">
        <v>6.1553740000000001</v>
      </c>
      <c r="DV79">
        <v>1.6</v>
      </c>
      <c r="DW79">
        <v>2.2999999999999998</v>
      </c>
      <c r="DX79">
        <v>107</v>
      </c>
      <c r="DY79">
        <v>107.5</v>
      </c>
      <c r="DZ79">
        <v>0.4</v>
      </c>
      <c r="EA79">
        <v>1.1000000000000001</v>
      </c>
      <c r="EB79">
        <v>1.4054869999999999</v>
      </c>
    </row>
    <row r="80" spans="1:132" ht="18">
      <c r="A80" s="14" t="s">
        <v>152</v>
      </c>
      <c r="B80" s="14">
        <v>1</v>
      </c>
      <c r="C80" s="14" t="s">
        <v>150</v>
      </c>
      <c r="D80" s="14" t="s">
        <v>151</v>
      </c>
      <c r="E80" s="14" t="s">
        <v>153</v>
      </c>
      <c r="F80" s="15">
        <v>4095</v>
      </c>
      <c r="G80" s="15">
        <v>3.6122539060964374</v>
      </c>
      <c r="H80" s="15">
        <v>1564</v>
      </c>
      <c r="I80" s="15">
        <v>0</v>
      </c>
      <c r="J80" s="16">
        <v>725</v>
      </c>
      <c r="K80" s="16">
        <v>1</v>
      </c>
      <c r="L80" s="17">
        <v>6.0276432577240677E-2</v>
      </c>
      <c r="M80" s="18">
        <v>40</v>
      </c>
      <c r="N80" s="18">
        <v>36</v>
      </c>
      <c r="O80" s="18">
        <v>0.87901796333668403</v>
      </c>
      <c r="P80" s="18">
        <v>1</v>
      </c>
      <c r="Q80" s="18">
        <v>1</v>
      </c>
      <c r="R80" s="18">
        <v>40</v>
      </c>
      <c r="S80" s="18">
        <v>3</v>
      </c>
      <c r="T80" s="19">
        <v>511</v>
      </c>
      <c r="U80" s="19">
        <v>2.7084209001347128</v>
      </c>
      <c r="V80" s="20">
        <v>681</v>
      </c>
      <c r="W80" s="20">
        <v>2.8331471119127851</v>
      </c>
      <c r="X80" s="20">
        <v>9.5640694343014435E-3</v>
      </c>
      <c r="Z80" s="20"/>
      <c r="AB80" s="20"/>
      <c r="AD80" s="21">
        <v>416</v>
      </c>
      <c r="AE80" s="21">
        <f t="shared" ref="AE80:AE105" si="35">AD80/AR80</f>
        <v>6.1233201348307991E-3</v>
      </c>
      <c r="AF80" s="21">
        <f t="shared" ref="AF80:AF105" si="36">LOG(AD80)</f>
        <v>2.6190933306267428</v>
      </c>
      <c r="AG80" s="22">
        <v>1.19228108394542E-3</v>
      </c>
      <c r="AH80" s="22">
        <v>81</v>
      </c>
      <c r="AI80" s="22">
        <v>1.437098167</v>
      </c>
      <c r="AJ80" s="22">
        <v>71204</v>
      </c>
      <c r="AK80" s="23">
        <f t="shared" ref="AK80:AK143" si="37">LOG(AJ80)</f>
        <v>4.852504391517928</v>
      </c>
      <c r="AL80" s="24">
        <v>0.32017543900000001</v>
      </c>
      <c r="AM80" s="22">
        <f>39717+1096</f>
        <v>40813</v>
      </c>
      <c r="AN80" s="22">
        <f>AM80/AR80</f>
        <v>0.600747751593388</v>
      </c>
      <c r="AO80" s="23">
        <v>6.7018047169496608E-2</v>
      </c>
      <c r="AP80" s="23">
        <v>3.9907466460767822E-2</v>
      </c>
      <c r="AQ80" s="23">
        <v>0.6010541573246394</v>
      </c>
      <c r="AR80" s="22">
        <v>67937</v>
      </c>
      <c r="AS80" s="23">
        <v>4.8321063651390723</v>
      </c>
      <c r="AT80" s="23">
        <f>LOG(64105)</f>
        <v>4.8068919045222982</v>
      </c>
      <c r="AU80" s="22">
        <v>1.958</v>
      </c>
      <c r="AV80" s="22">
        <v>1.829143076</v>
      </c>
      <c r="AW80" s="24">
        <v>29.952000000000002</v>
      </c>
      <c r="AX80" s="24"/>
      <c r="AY80" s="22">
        <v>1</v>
      </c>
      <c r="AZ80" s="24">
        <v>29977</v>
      </c>
      <c r="BA80" s="24">
        <f t="shared" si="29"/>
        <v>4.4767881679172747</v>
      </c>
      <c r="BB80" s="24">
        <v>28338</v>
      </c>
      <c r="BC80" s="24">
        <f t="shared" si="30"/>
        <v>4.452369195960344</v>
      </c>
      <c r="BD80" s="24">
        <v>1639</v>
      </c>
      <c r="BE80" s="22">
        <v>2009</v>
      </c>
      <c r="BF80" s="22">
        <v>1108.5</v>
      </c>
      <c r="BG80" s="23">
        <v>-0.52460955986748703</v>
      </c>
      <c r="BH80" s="23">
        <v>2.9571514785757393E-2</v>
      </c>
      <c r="BI80" s="23">
        <v>8.9550973702612779E-2</v>
      </c>
      <c r="BJ80" s="23">
        <v>1.8275129534039761E-2</v>
      </c>
      <c r="BK80" s="23">
        <v>-0.66978008654645593</v>
      </c>
      <c r="BL80" s="22">
        <v>4226</v>
      </c>
      <c r="BM80" s="22">
        <v>4793</v>
      </c>
      <c r="BN80" s="22"/>
      <c r="BO80" s="22">
        <v>3.6806074289917881</v>
      </c>
      <c r="BP80" s="22">
        <v>0.15988924842379157</v>
      </c>
      <c r="BQ80" s="22">
        <v>2.7139910724346825E-2</v>
      </c>
      <c r="BR80" s="22"/>
      <c r="BS80" s="22">
        <v>-4206</v>
      </c>
      <c r="BT80" s="22">
        <v>3.6238692683503024</v>
      </c>
      <c r="BU80" s="22">
        <v>6.1910299247832548E-2</v>
      </c>
      <c r="BV80" s="23">
        <v>3967</v>
      </c>
      <c r="BW80" s="22">
        <v>38123</v>
      </c>
      <c r="BX80" s="22">
        <v>4.9400000000000004</v>
      </c>
      <c r="BY80" s="22">
        <v>0.69372694892364695</v>
      </c>
      <c r="BZ80" s="25">
        <v>0.17061611374407598</v>
      </c>
      <c r="CA80" s="23">
        <v>0.20948940234976793</v>
      </c>
      <c r="CB80" s="23">
        <v>20.948940234976792</v>
      </c>
      <c r="CC80" s="23">
        <v>1.321162057768039</v>
      </c>
      <c r="CD80" s="23">
        <v>0.14527413</v>
      </c>
      <c r="CE80" s="23">
        <v>0.15927411921648335</v>
      </c>
      <c r="CF80" s="23">
        <v>1.5646067415730338</v>
      </c>
      <c r="CG80" s="23">
        <f t="shared" si="31"/>
        <v>0.44763450907525365</v>
      </c>
      <c r="CH80" s="26">
        <v>28.62</v>
      </c>
      <c r="CI80" s="26">
        <v>23.8</v>
      </c>
      <c r="CJ80" s="26">
        <v>1.4566696294237576</v>
      </c>
      <c r="CK80" s="26">
        <v>1.3765769570565121</v>
      </c>
      <c r="CL80" s="26">
        <v>0.20252100840336135</v>
      </c>
      <c r="CM80" s="27">
        <v>28.164291187739472</v>
      </c>
      <c r="CN80" s="27">
        <v>5.6821432935815153E-2</v>
      </c>
      <c r="CQ80" s="27">
        <v>125.09884615384618</v>
      </c>
      <c r="CR80" s="27">
        <v>0.13726223776223803</v>
      </c>
      <c r="CS80" s="27">
        <v>0.92386973180076593</v>
      </c>
      <c r="CT80" s="27">
        <v>1.0645593900000001</v>
      </c>
      <c r="CU80" s="27">
        <v>-0.12842478132003218</v>
      </c>
      <c r="CX80" s="28">
        <v>0.76</v>
      </c>
      <c r="CY80" s="28">
        <v>0.82</v>
      </c>
      <c r="CZ80" s="29">
        <v>37.275402300000003</v>
      </c>
      <c r="DA80" s="27">
        <v>0.32652677224199295</v>
      </c>
      <c r="DB80" s="27">
        <v>2.5105365885464708</v>
      </c>
      <c r="DC80" s="27">
        <v>1.25643310503606</v>
      </c>
      <c r="DD80" s="27">
        <v>3</v>
      </c>
      <c r="DE80" s="28">
        <v>1.71</v>
      </c>
      <c r="DF80" s="28">
        <v>84.795053999999993</v>
      </c>
      <c r="DG80" s="28">
        <v>4.4402372156251628</v>
      </c>
      <c r="DH80" s="28">
        <v>0.85751299999999997</v>
      </c>
      <c r="DI80" s="28">
        <v>2.1108229999999999</v>
      </c>
      <c r="DJ80" s="27">
        <v>1.6</v>
      </c>
      <c r="DK80" s="27">
        <v>2.2999999999999998</v>
      </c>
      <c r="DL80" s="27">
        <v>1.1731637610823707E-2</v>
      </c>
      <c r="DM80" s="27">
        <v>0.95289999999999997</v>
      </c>
      <c r="DN80" s="28">
        <v>1.1605000000000001</v>
      </c>
      <c r="DO80" s="28">
        <v>9.3264248704663183E-2</v>
      </c>
      <c r="DP80" s="28">
        <f>(DM80-1.1242)/1.1242</f>
        <v>-0.15237502223803603</v>
      </c>
      <c r="DQ80" s="27">
        <v>0.20879999999999999</v>
      </c>
      <c r="DR80" s="27">
        <v>6.0688564775993471E-2</v>
      </c>
      <c r="DS80" s="27">
        <v>3.9305854754660308E-2</v>
      </c>
      <c r="DT80" s="27">
        <v>3.268886E-2</v>
      </c>
      <c r="DU80" s="30">
        <v>5.7817160000000003</v>
      </c>
      <c r="DV80">
        <v>0.9</v>
      </c>
      <c r="DW80">
        <v>2.8</v>
      </c>
      <c r="DX80">
        <v>84</v>
      </c>
      <c r="DY80">
        <v>80.900000000000006</v>
      </c>
      <c r="DZ80">
        <v>2.2000000000000002</v>
      </c>
      <c r="EA80">
        <v>3</v>
      </c>
      <c r="EB80">
        <v>1.701892</v>
      </c>
    </row>
    <row r="81" spans="1:132" ht="18">
      <c r="A81" s="14" t="s">
        <v>152</v>
      </c>
      <c r="B81" s="14">
        <v>2</v>
      </c>
      <c r="C81" s="14" t="s">
        <v>150</v>
      </c>
      <c r="D81" s="14" t="s">
        <v>151</v>
      </c>
      <c r="E81" s="14" t="s">
        <v>153</v>
      </c>
      <c r="F81" s="15">
        <v>2384</v>
      </c>
      <c r="G81" s="15">
        <v>3.377306251068199</v>
      </c>
      <c r="H81" s="15">
        <v>3116</v>
      </c>
      <c r="I81" s="15">
        <v>0</v>
      </c>
      <c r="J81" s="16">
        <v>440</v>
      </c>
      <c r="K81" s="16">
        <v>1</v>
      </c>
      <c r="L81" s="17">
        <v>3.4135654863328514E-2</v>
      </c>
      <c r="M81" s="18">
        <v>40</v>
      </c>
      <c r="N81" s="18">
        <v>36</v>
      </c>
      <c r="O81" s="18">
        <v>0.87901796333668403</v>
      </c>
      <c r="P81" s="18">
        <v>1</v>
      </c>
      <c r="Q81" s="18">
        <v>1</v>
      </c>
      <c r="R81" s="18">
        <v>40</v>
      </c>
      <c r="S81" s="18">
        <v>3</v>
      </c>
      <c r="T81" s="19">
        <v>554</v>
      </c>
      <c r="U81" s="19">
        <v>2.7435097647284299</v>
      </c>
      <c r="V81" s="20">
        <v>607</v>
      </c>
      <c r="W81" s="20">
        <v>2.7831886910752575</v>
      </c>
      <c r="X81" s="20">
        <v>9.3716226648139569E-3</v>
      </c>
      <c r="Z81" s="20"/>
      <c r="AB81" s="20"/>
      <c r="AD81" s="21">
        <v>510</v>
      </c>
      <c r="AE81" s="21">
        <f t="shared" si="35"/>
        <v>7.3025100588496395E-3</v>
      </c>
      <c r="AF81" s="21">
        <f t="shared" si="36"/>
        <v>2.7075701760979363</v>
      </c>
      <c r="AG81" s="22">
        <v>2.2909835478743967E-4</v>
      </c>
      <c r="AH81" s="22">
        <v>16</v>
      </c>
      <c r="AI81" s="22">
        <v>1.5217921649999999</v>
      </c>
      <c r="AJ81" s="22">
        <v>64770</v>
      </c>
      <c r="AK81" s="23">
        <f t="shared" si="37"/>
        <v>4.8113738970538931</v>
      </c>
      <c r="AL81" s="24">
        <v>1.7112498E-2</v>
      </c>
      <c r="AM81" s="22">
        <f>41632+1134</f>
        <v>42766</v>
      </c>
      <c r="AN81" s="22">
        <f t="shared" ref="AN81:AN91" si="38">AM81/AR81</f>
        <v>0.61235126505247783</v>
      </c>
      <c r="AO81" s="23">
        <v>7.7500463334774825E-2</v>
      </c>
      <c r="AP81" s="33">
        <v>2.4508009999999998E-3</v>
      </c>
      <c r="AQ81" s="23">
        <v>-0.61069195113492891</v>
      </c>
      <c r="AR81" s="22">
        <v>69839</v>
      </c>
      <c r="AS81" s="23">
        <v>4.8440980122325774</v>
      </c>
      <c r="AT81" s="23">
        <v>4.8321063651390723</v>
      </c>
      <c r="AU81" s="22">
        <v>1.9530000000000001</v>
      </c>
      <c r="AV81" s="22">
        <v>1.6961764020000001</v>
      </c>
      <c r="AW81" s="24">
        <v>32.436999999999998</v>
      </c>
      <c r="AX81" s="24">
        <v>29.952000000000002</v>
      </c>
      <c r="AY81" s="22">
        <v>1</v>
      </c>
      <c r="AZ81" s="24">
        <v>32374</v>
      </c>
      <c r="BA81" s="24">
        <f t="shared" si="29"/>
        <v>4.5101963623807588</v>
      </c>
      <c r="BB81" s="24">
        <v>27642</v>
      </c>
      <c r="BC81" s="24">
        <f t="shared" si="30"/>
        <v>4.4415694626363234</v>
      </c>
      <c r="BD81" s="24">
        <v>4732</v>
      </c>
      <c r="BE81" s="22">
        <v>2509</v>
      </c>
      <c r="BF81" s="22">
        <f>STDEVP(BE80:BE81)</f>
        <v>250</v>
      </c>
      <c r="BG81" s="23">
        <v>0.24888003982080636</v>
      </c>
      <c r="BH81" s="23">
        <v>3.5925485760105388E-2</v>
      </c>
      <c r="BI81" s="23">
        <v>2.9571514785757393E-2</v>
      </c>
      <c r="BJ81" s="23">
        <v>1.8275129534039761E-2</v>
      </c>
      <c r="BK81" s="23">
        <v>0.21486795723458424</v>
      </c>
      <c r="BL81" s="22">
        <v>2009</v>
      </c>
      <c r="BM81" s="22">
        <v>7173</v>
      </c>
      <c r="BN81" s="22">
        <f>STDEVP(BM80:BM81)</f>
        <v>1190</v>
      </c>
      <c r="BO81" s="22">
        <v>3.855700830835437</v>
      </c>
      <c r="BP81" s="22">
        <v>0.221566689318589</v>
      </c>
      <c r="BQ81" s="22">
        <v>3.0838720447398642E-2</v>
      </c>
      <c r="BR81" s="22">
        <v>2.7139910724346825E-2</v>
      </c>
      <c r="BS81" s="22">
        <v>-4695</v>
      </c>
      <c r="BT81" s="22">
        <v>3.6716355966021297</v>
      </c>
      <c r="BU81" s="22">
        <v>6.7226048482939338E-2</v>
      </c>
      <c r="BV81" s="23">
        <v>6756</v>
      </c>
      <c r="BW81" s="23">
        <v>36154</v>
      </c>
      <c r="BX81" s="22">
        <v>5.35</v>
      </c>
      <c r="BY81" s="22">
        <v>0.72835378202122847</v>
      </c>
      <c r="BZ81" s="25">
        <v>8.2995951417003888E-2</v>
      </c>
      <c r="CA81" s="23">
        <v>0.15927411921648335</v>
      </c>
      <c r="CB81" s="23">
        <v>15.927411921648336</v>
      </c>
      <c r="CC81" s="23">
        <v>1.2021452121186769</v>
      </c>
      <c r="CD81" s="23">
        <v>0.20948940234976793</v>
      </c>
      <c r="CE81" s="23">
        <v>7.4726059317069646E-2</v>
      </c>
      <c r="CF81" s="23">
        <v>1.112781954887218</v>
      </c>
      <c r="CG81" s="23">
        <f t="shared" si="31"/>
        <v>0.10686314554236125</v>
      </c>
      <c r="CH81" s="26">
        <v>18.309999999999999</v>
      </c>
      <c r="CI81" s="26">
        <v>28.62</v>
      </c>
      <c r="CJ81" s="26">
        <v>1.2626883443016965</v>
      </c>
      <c r="CK81" s="26">
        <v>1.4566696294237576</v>
      </c>
      <c r="CL81" s="26">
        <v>-0.36023759608665273</v>
      </c>
      <c r="CM81" s="27">
        <v>22.615402298850572</v>
      </c>
      <c r="CN81" s="27">
        <v>-0.19701858825065877</v>
      </c>
      <c r="CQ81" s="27">
        <v>115.89653846153851</v>
      </c>
      <c r="CR81" s="27">
        <v>-7.3560292322686169E-2</v>
      </c>
      <c r="CS81" s="27">
        <v>0.92888888888888932</v>
      </c>
      <c r="CT81" s="27">
        <v>0.92386973180076604</v>
      </c>
      <c r="CU81" s="27">
        <v>5.4327541160378483E-3</v>
      </c>
      <c r="CX81" s="28">
        <v>0.66</v>
      </c>
      <c r="CY81" s="28">
        <v>0.76</v>
      </c>
      <c r="CZ81" s="29">
        <v>31.998965519999999</v>
      </c>
      <c r="DA81" s="27">
        <v>-0.14155277889515908</v>
      </c>
      <c r="DB81" s="27">
        <v>2.6347679627304119</v>
      </c>
      <c r="DC81" s="27">
        <v>2.5105365885464708</v>
      </c>
      <c r="DD81" s="27">
        <v>3</v>
      </c>
      <c r="DE81" s="28">
        <v>1.92</v>
      </c>
      <c r="DF81" s="28">
        <v>87.492649999999998</v>
      </c>
      <c r="DG81" s="28">
        <v>4.4715547898353716</v>
      </c>
      <c r="DH81" s="28">
        <v>0.87940499999999999</v>
      </c>
      <c r="DI81" s="28">
        <v>2.0692080000000002</v>
      </c>
      <c r="DJ81" s="27">
        <v>1</v>
      </c>
      <c r="DK81" s="27">
        <v>2</v>
      </c>
      <c r="DL81" s="27">
        <v>1.6216043547496031E-2</v>
      </c>
      <c r="DM81" s="27">
        <v>0.79400000000000004</v>
      </c>
      <c r="DN81" s="28">
        <v>1.1231</v>
      </c>
      <c r="DO81" s="28">
        <v>-3.2227488151658851E-2</v>
      </c>
      <c r="DP81" s="28">
        <f>(DM81-DM80)/DM80</f>
        <v>-0.16675411900514214</v>
      </c>
      <c r="DQ81" s="27">
        <v>0.17130000000000001</v>
      </c>
      <c r="DR81" s="27">
        <v>3.9305854754660308E-2</v>
      </c>
      <c r="DS81" s="27">
        <v>2.6867542601332471E-2</v>
      </c>
      <c r="DT81" s="27">
        <v>6.0688564775993471E-2</v>
      </c>
      <c r="DU81" s="30">
        <v>5.9865389999999996</v>
      </c>
      <c r="DV81">
        <v>0.9</v>
      </c>
      <c r="DW81">
        <v>2.8</v>
      </c>
      <c r="DX81">
        <v>85.7</v>
      </c>
      <c r="DY81">
        <v>82.9</v>
      </c>
      <c r="DZ81">
        <v>2.4</v>
      </c>
      <c r="EA81">
        <v>2</v>
      </c>
      <c r="EB81">
        <v>1.4781599999999999</v>
      </c>
    </row>
    <row r="82" spans="1:132" ht="18">
      <c r="A82" s="14" t="s">
        <v>152</v>
      </c>
      <c r="B82" s="14">
        <v>3</v>
      </c>
      <c r="C82" s="14" t="s">
        <v>150</v>
      </c>
      <c r="D82" s="14" t="s">
        <v>151</v>
      </c>
      <c r="E82" s="14" t="s">
        <v>153</v>
      </c>
      <c r="F82" s="15">
        <v>1869</v>
      </c>
      <c r="G82" s="15">
        <v>3.2716093013788319</v>
      </c>
      <c r="H82" s="15">
        <v>1834</v>
      </c>
      <c r="I82" s="15">
        <v>0</v>
      </c>
      <c r="J82" s="16"/>
      <c r="K82" s="16">
        <v>1</v>
      </c>
      <c r="L82" s="17">
        <v>2.6936657779058876E-2</v>
      </c>
      <c r="M82" s="18">
        <v>40</v>
      </c>
      <c r="N82" s="18">
        <v>36</v>
      </c>
      <c r="O82" s="18">
        <v>0.87901796333668403</v>
      </c>
      <c r="P82" s="18">
        <v>1</v>
      </c>
      <c r="Q82" s="18">
        <v>1</v>
      </c>
      <c r="R82" s="18">
        <v>40</v>
      </c>
      <c r="S82" s="18">
        <v>3</v>
      </c>
      <c r="T82" s="19">
        <v>388</v>
      </c>
      <c r="U82" s="19">
        <v>2.5888317255942073</v>
      </c>
      <c r="V82" s="20">
        <v>557.08199999999999</v>
      </c>
      <c r="W82" s="20">
        <v>2.7459191261008606</v>
      </c>
      <c r="X82" s="20">
        <v>8.9999999999999993E-3</v>
      </c>
      <c r="Z82" s="20"/>
      <c r="AB82" s="20"/>
      <c r="AD82" s="21">
        <v>686</v>
      </c>
      <c r="AE82" s="21">
        <f t="shared" si="35"/>
        <v>9.8868631548605611E-3</v>
      </c>
      <c r="AF82" s="21">
        <f t="shared" si="36"/>
        <v>2.8363241157067516</v>
      </c>
      <c r="AG82" s="22">
        <v>2.882467392087627E-4</v>
      </c>
      <c r="AH82" s="22">
        <v>20</v>
      </c>
      <c r="AI82" s="22">
        <v>2.057155115</v>
      </c>
      <c r="AJ82" s="22">
        <v>61898</v>
      </c>
      <c r="AK82" s="23">
        <f t="shared" si="37"/>
        <v>4.7916766166615359</v>
      </c>
      <c r="AL82" s="24">
        <v>1.0310922E-2</v>
      </c>
      <c r="AM82" s="22">
        <f>41124+1256</f>
        <v>42380</v>
      </c>
      <c r="AN82" s="22">
        <f t="shared" si="38"/>
        <v>0.61079484038336818</v>
      </c>
      <c r="AO82" s="23">
        <v>7.1910709540260437E-2</v>
      </c>
      <c r="AP82" s="33">
        <v>6.11234E-3</v>
      </c>
      <c r="AQ82" s="23">
        <v>-0.21379249605262821</v>
      </c>
      <c r="AR82" s="22">
        <v>69385</v>
      </c>
      <c r="AS82" s="23">
        <v>4.8412655926257822</v>
      </c>
      <c r="AT82" s="23">
        <v>4.8440980122325774</v>
      </c>
      <c r="AU82" s="22">
        <v>1.96</v>
      </c>
      <c r="AV82" s="22">
        <v>1.7639908479999999</v>
      </c>
      <c r="AW82" s="24">
        <v>43.155000000000001</v>
      </c>
      <c r="AX82" s="24">
        <v>32.436999999999998</v>
      </c>
      <c r="AY82" s="22">
        <v>1</v>
      </c>
      <c r="AZ82" s="24">
        <v>37630</v>
      </c>
      <c r="BA82" s="24">
        <f t="shared" si="29"/>
        <v>4.5755342183198646</v>
      </c>
      <c r="BB82" s="24">
        <v>31305</v>
      </c>
      <c r="BC82" s="24">
        <f t="shared" si="30"/>
        <v>4.4956137081211356</v>
      </c>
      <c r="BD82" s="24">
        <v>6325</v>
      </c>
      <c r="BE82" s="22">
        <v>2706</v>
      </c>
      <c r="BF82" s="22">
        <f t="shared" ref="BF82:BF92" si="39">STDEVP(BE81:BE82)</f>
        <v>98.5</v>
      </c>
      <c r="BG82" s="23">
        <v>7.8517337584695104E-2</v>
      </c>
      <c r="BH82" s="23">
        <v>3.8999783814945593E-2</v>
      </c>
      <c r="BI82" s="23">
        <v>3.5925485760105388E-2</v>
      </c>
      <c r="BJ82" s="23">
        <v>1.8275129534039761E-2</v>
      </c>
      <c r="BK82" s="23">
        <v>8.5574293284968142E-2</v>
      </c>
      <c r="BL82" s="22">
        <v>2509</v>
      </c>
      <c r="BM82" s="22">
        <v>5392</v>
      </c>
      <c r="BN82" s="22">
        <f t="shared" ref="BN82:BN91" si="40">STDEVP(BM81:BM82)</f>
        <v>890.5</v>
      </c>
      <c r="BO82" s="22">
        <v>3.7317498835272636</v>
      </c>
      <c r="BP82" s="22">
        <v>0.14328992824873771</v>
      </c>
      <c r="BQ82" s="22">
        <v>3.9138380534925694E-2</v>
      </c>
      <c r="BR82" s="22">
        <v>3.0838720447398642E-2</v>
      </c>
      <c r="BS82" s="22">
        <v>-1898</v>
      </c>
      <c r="BT82" s="22">
        <v>3.2782962080912736</v>
      </c>
      <c r="BU82" s="22">
        <v>2.7354615550911579E-2</v>
      </c>
      <c r="BV82" s="23">
        <v>4901</v>
      </c>
      <c r="BW82" s="22">
        <v>37005</v>
      </c>
      <c r="BX82" s="22">
        <v>7.07</v>
      </c>
      <c r="BY82" s="22">
        <v>0.84941941379689945</v>
      </c>
      <c r="BZ82" s="25">
        <v>0.32149532710280387</v>
      </c>
      <c r="CA82" s="23">
        <v>7.4726059317069646E-2</v>
      </c>
      <c r="CB82" s="23">
        <v>7.4726059317069646</v>
      </c>
      <c r="CC82" s="23">
        <v>0.8734720803161633</v>
      </c>
      <c r="CD82" s="23">
        <v>0.15927411921648335</v>
      </c>
      <c r="CE82" s="23">
        <v>8.5261560679111809E-2</v>
      </c>
      <c r="CF82" s="23">
        <v>1.4141876430205949</v>
      </c>
      <c r="CG82" s="23">
        <f t="shared" si="31"/>
        <v>0.34655526236210055</v>
      </c>
      <c r="CH82" s="26">
        <v>13.29</v>
      </c>
      <c r="CI82" s="26">
        <v>18.309999999999999</v>
      </c>
      <c r="CJ82" s="26">
        <v>1.1235249809427319</v>
      </c>
      <c r="CK82" s="26">
        <v>1.2626883443016965</v>
      </c>
      <c r="CL82" s="26">
        <v>-0.27416712179137082</v>
      </c>
      <c r="CM82" s="27">
        <v>16.030268199233717</v>
      </c>
      <c r="CN82" s="27">
        <v>-0.29117917128326054</v>
      </c>
      <c r="CQ82" s="27">
        <v>102.09153846153851</v>
      </c>
      <c r="CR82" s="27">
        <v>-0.11911486040268011</v>
      </c>
      <c r="CS82" s="27">
        <v>0.9859003831417622</v>
      </c>
      <c r="CT82" s="27">
        <v>0.92888888888888899</v>
      </c>
      <c r="CU82" s="27">
        <v>6.1376010559312889E-2</v>
      </c>
      <c r="CV82" s="27">
        <v>1.140877862595419</v>
      </c>
      <c r="CW82" s="27">
        <v>2.0572391532349976</v>
      </c>
      <c r="CX82" s="28">
        <v>1.07</v>
      </c>
      <c r="CY82" s="28">
        <v>0.66</v>
      </c>
      <c r="CZ82" s="29">
        <v>18.886297710000001</v>
      </c>
      <c r="DA82" s="27">
        <v>-0.40978411635852152</v>
      </c>
      <c r="DB82" s="27">
        <v>266.87708664986224</v>
      </c>
      <c r="DC82" s="27">
        <v>2.6347679627304119</v>
      </c>
      <c r="DD82" s="27">
        <v>3</v>
      </c>
      <c r="DE82" s="28">
        <v>2.15</v>
      </c>
      <c r="DF82" s="28">
        <v>89.701104999999998</v>
      </c>
      <c r="DG82" s="28">
        <v>4.4964830878294535</v>
      </c>
      <c r="DH82" s="28">
        <v>0.898169</v>
      </c>
      <c r="DI82" s="28">
        <v>2.0255130000000001</v>
      </c>
      <c r="DJ82" s="27">
        <v>1.7</v>
      </c>
      <c r="DK82" s="27">
        <v>2.1</v>
      </c>
      <c r="DL82" s="27">
        <v>1.3035848693861207E-2</v>
      </c>
      <c r="DM82" s="27">
        <v>0.73780000000000001</v>
      </c>
      <c r="DN82" s="28">
        <v>0.95269999999999999</v>
      </c>
      <c r="DO82" s="28">
        <v>-0.15172290980322323</v>
      </c>
      <c r="DP82" s="28">
        <f t="shared" ref="DP82:DP92" si="41">(DM82-DM81)/DM81</f>
        <v>-7.0780856423173832E-2</v>
      </c>
      <c r="DQ82" s="27">
        <v>0.11370000000000002</v>
      </c>
      <c r="DR82" s="27">
        <v>2.6867542601332471E-2</v>
      </c>
      <c r="DS82" s="27">
        <v>3.2347817198611614E-2</v>
      </c>
      <c r="DT82" s="27">
        <v>3.9305854754660308E-2</v>
      </c>
      <c r="DU82" s="30">
        <v>5.5230399999999999</v>
      </c>
      <c r="DV82">
        <v>0.3</v>
      </c>
      <c r="DW82">
        <v>2.6</v>
      </c>
      <c r="DX82">
        <v>88</v>
      </c>
      <c r="DY82">
        <v>85.1</v>
      </c>
      <c r="DZ82">
        <v>2</v>
      </c>
      <c r="EA82">
        <v>1.5</v>
      </c>
      <c r="EB82">
        <v>1.913224</v>
      </c>
    </row>
    <row r="83" spans="1:132" ht="18">
      <c r="A83" s="14" t="s">
        <v>152</v>
      </c>
      <c r="B83" s="14">
        <v>4</v>
      </c>
      <c r="C83" s="14" t="s">
        <v>150</v>
      </c>
      <c r="D83" s="14" t="s">
        <v>151</v>
      </c>
      <c r="E83" s="14" t="s">
        <v>153</v>
      </c>
      <c r="F83" s="15">
        <v>1871</v>
      </c>
      <c r="G83" s="15">
        <v>3.2720737875000099</v>
      </c>
      <c r="H83" s="15">
        <v>1798</v>
      </c>
      <c r="I83" s="15">
        <v>73</v>
      </c>
      <c r="J83" s="16">
        <v>1357</v>
      </c>
      <c r="K83" s="16">
        <v>1</v>
      </c>
      <c r="L83" s="17">
        <v>3.7048037701477167E-2</v>
      </c>
      <c r="M83" s="18">
        <v>40</v>
      </c>
      <c r="N83" s="18">
        <v>36</v>
      </c>
      <c r="O83" s="18">
        <v>0.87901796333668403</v>
      </c>
      <c r="P83" s="18">
        <v>1</v>
      </c>
      <c r="Q83" s="18">
        <v>1</v>
      </c>
      <c r="R83" s="18">
        <v>40</v>
      </c>
      <c r="S83" s="18">
        <v>3</v>
      </c>
      <c r="T83" s="19">
        <v>151</v>
      </c>
      <c r="U83" s="19">
        <v>2.1789769472931693</v>
      </c>
      <c r="V83" s="20">
        <v>324</v>
      </c>
      <c r="W83" s="20">
        <v>2.510545010206612</v>
      </c>
      <c r="X83" s="20">
        <v>6.257483873459771E-3</v>
      </c>
      <c r="Z83" s="20"/>
      <c r="AB83" s="20"/>
      <c r="AD83" s="21">
        <v>458</v>
      </c>
      <c r="AE83" s="21">
        <f t="shared" si="35"/>
        <v>9.0689477644449717E-3</v>
      </c>
      <c r="AF83" s="21">
        <f t="shared" si="36"/>
        <v>2.6608654780038692</v>
      </c>
      <c r="AG83" s="22">
        <v>3.9602391984475864E-4</v>
      </c>
      <c r="AH83" s="22">
        <v>20</v>
      </c>
      <c r="AI83" s="22">
        <v>2.1396271119999999</v>
      </c>
      <c r="AJ83" s="22">
        <v>51778</v>
      </c>
      <c r="AK83" s="23">
        <f t="shared" si="37"/>
        <v>4.7141452711714908</v>
      </c>
      <c r="AL83" s="24">
        <v>4.6648130000000003E-3</v>
      </c>
      <c r="AM83" s="22">
        <f>18468+12618</f>
        <v>31086</v>
      </c>
      <c r="AN83" s="22">
        <f t="shared" si="38"/>
        <v>0.61553997861470833</v>
      </c>
      <c r="AO83" s="23">
        <v>0.12764905776953969</v>
      </c>
      <c r="AP83" s="33">
        <v>1.818225E-2</v>
      </c>
      <c r="AQ83" s="23">
        <v>0.25964762487721865</v>
      </c>
      <c r="AR83" s="22">
        <v>50502</v>
      </c>
      <c r="AS83" s="23">
        <v>4.7033085775595422</v>
      </c>
      <c r="AT83" s="23">
        <v>4.8412655926257822</v>
      </c>
      <c r="AU83" s="22">
        <v>1.052</v>
      </c>
      <c r="AV83" s="22">
        <v>1.0521734650000001</v>
      </c>
      <c r="AW83" s="22">
        <v>41.542999999999999</v>
      </c>
      <c r="AX83" s="24">
        <v>43.155000000000001</v>
      </c>
      <c r="AY83" s="22">
        <v>1</v>
      </c>
      <c r="AZ83" s="24">
        <v>32370</v>
      </c>
      <c r="BA83" s="24">
        <f t="shared" si="29"/>
        <v>4.5101426994025733</v>
      </c>
      <c r="BB83" s="24">
        <v>28521</v>
      </c>
      <c r="BC83" s="24">
        <f t="shared" si="30"/>
        <v>4.4551647486296257</v>
      </c>
      <c r="BD83" s="24">
        <v>3849</v>
      </c>
      <c r="BE83" s="22">
        <v>4132</v>
      </c>
      <c r="BF83" s="22">
        <f t="shared" si="39"/>
        <v>713</v>
      </c>
      <c r="BG83" s="23">
        <v>0.52697708795269771</v>
      </c>
      <c r="BH83" s="23">
        <v>8.1818541839927136E-2</v>
      </c>
      <c r="BI83" s="23">
        <v>3.8999783814945593E-2</v>
      </c>
      <c r="BJ83" s="23">
        <v>1.8275129534039761E-2</v>
      </c>
      <c r="BK83" s="23">
        <v>1.0979229584491295</v>
      </c>
      <c r="BL83" s="22">
        <v>2706</v>
      </c>
      <c r="BM83" s="22">
        <v>5693</v>
      </c>
      <c r="BN83" s="22">
        <f t="shared" si="40"/>
        <v>150.5</v>
      </c>
      <c r="BO83" s="22">
        <v>3.7553411838115474</v>
      </c>
      <c r="BP83" s="22">
        <v>0.17587272165585419</v>
      </c>
      <c r="BQ83" s="22">
        <v>1.6291396703558354E-2</v>
      </c>
      <c r="BR83" s="22">
        <v>3.9138380534925694E-2</v>
      </c>
      <c r="BS83" s="22">
        <v>1092</v>
      </c>
      <c r="BT83" s="22"/>
      <c r="BU83" s="22">
        <v>-2.1622906023523823E-2</v>
      </c>
      <c r="BV83" s="23">
        <v>5562</v>
      </c>
      <c r="BW83" s="22">
        <v>20429</v>
      </c>
      <c r="BX83" s="22">
        <v>6.75</v>
      </c>
      <c r="BY83" s="22">
        <v>0.82930377283102497</v>
      </c>
      <c r="BZ83" s="25">
        <v>-4.5261669024045298E-2</v>
      </c>
      <c r="CA83" s="23">
        <v>8.5261560679111809E-2</v>
      </c>
      <c r="CB83" s="23">
        <v>8.526156067911181</v>
      </c>
      <c r="CC83" s="23">
        <v>0.93075327797241836</v>
      </c>
      <c r="CD83" s="23">
        <v>7.4726059317069646E-2</v>
      </c>
      <c r="CE83" s="23">
        <v>5.8481641658683567E-2</v>
      </c>
      <c r="CF83" s="23">
        <v>1.190562613430127</v>
      </c>
      <c r="CG83" s="23">
        <f t="shared" si="31"/>
        <v>0.17442597979117455</v>
      </c>
      <c r="CH83" s="26">
        <v>12.07</v>
      </c>
      <c r="CI83" s="26">
        <v>13.29</v>
      </c>
      <c r="CJ83" s="26">
        <v>1.0817072700973491</v>
      </c>
      <c r="CK83" s="26">
        <v>1.1235249809427319</v>
      </c>
      <c r="CL83" s="26">
        <v>-9.1798344620014974E-2</v>
      </c>
      <c r="CM83" s="27">
        <v>13.248115384615385</v>
      </c>
      <c r="CN83" s="27">
        <v>-0.17355622376619531</v>
      </c>
      <c r="CQ83" s="27">
        <v>81.715444015443992</v>
      </c>
      <c r="CR83" s="27">
        <v>-0.1995865157206041</v>
      </c>
      <c r="CS83" s="27">
        <v>0.91873076923076902</v>
      </c>
      <c r="CT83" s="27">
        <v>0.9859003831417622</v>
      </c>
      <c r="CU83" s="27">
        <v>-6.8130223965370842E-2</v>
      </c>
      <c r="CV83" s="27">
        <v>1.0315769230769232</v>
      </c>
      <c r="CW83" s="27">
        <v>2.0135016181765906</v>
      </c>
      <c r="CX83" s="28">
        <v>0.94</v>
      </c>
      <c r="CY83" s="28">
        <v>1.07</v>
      </c>
      <c r="CZ83" s="29">
        <v>14.03142308</v>
      </c>
      <c r="DA83" s="27">
        <v>-0.25705803776615366</v>
      </c>
      <c r="DB83" s="27">
        <v>1.72976924253802</v>
      </c>
      <c r="DC83" s="27">
        <v>266.87708664986224</v>
      </c>
      <c r="DD83" s="27">
        <v>3</v>
      </c>
      <c r="DE83" s="28">
        <v>1.37</v>
      </c>
      <c r="DF83" s="28">
        <v>91.395645999999999</v>
      </c>
      <c r="DG83" s="28">
        <v>4.5151978405639497</v>
      </c>
      <c r="DH83" s="28">
        <v>0.91533200000000003</v>
      </c>
      <c r="DI83" s="28">
        <v>1.859985</v>
      </c>
      <c r="DJ83" s="27">
        <v>1.6</v>
      </c>
      <c r="DK83" s="27">
        <v>1.5</v>
      </c>
      <c r="DL83" s="27">
        <v>8.4498661866614921E-3</v>
      </c>
      <c r="DM83" s="27">
        <v>0.84399999999999997</v>
      </c>
      <c r="DN83" s="28">
        <v>0.79300000000000004</v>
      </c>
      <c r="DO83" s="28">
        <v>-0.167628844337147</v>
      </c>
      <c r="DP83" s="28">
        <f t="shared" si="41"/>
        <v>0.14394144754676058</v>
      </c>
      <c r="DQ83" s="27">
        <v>0.11509999999999998</v>
      </c>
      <c r="DR83" s="27">
        <v>3.2347817198611614E-2</v>
      </c>
      <c r="DS83" s="27">
        <v>2.4490842135800685E-2</v>
      </c>
      <c r="DT83" s="27">
        <v>2.6867542601332471E-2</v>
      </c>
      <c r="DU83" s="30">
        <v>5.0767810000000004</v>
      </c>
      <c r="DV83">
        <v>-0.3</v>
      </c>
      <c r="DW83">
        <v>0.7</v>
      </c>
      <c r="DX83">
        <v>90.9</v>
      </c>
      <c r="DY83">
        <v>87.4</v>
      </c>
      <c r="DZ83">
        <v>1.6</v>
      </c>
      <c r="EA83">
        <v>1</v>
      </c>
      <c r="EB83">
        <v>2.1595819999999999</v>
      </c>
    </row>
    <row r="84" spans="1:132" ht="18">
      <c r="A84" s="14" t="s">
        <v>152</v>
      </c>
      <c r="B84" s="14">
        <v>5</v>
      </c>
      <c r="C84" s="14" t="s">
        <v>150</v>
      </c>
      <c r="D84" s="14" t="s">
        <v>151</v>
      </c>
      <c r="E84" s="14" t="s">
        <v>153</v>
      </c>
      <c r="F84" s="15">
        <v>1574</v>
      </c>
      <c r="G84" s="15">
        <v>3.1970047280230456</v>
      </c>
      <c r="H84" s="15">
        <v>1494</v>
      </c>
      <c r="I84" s="15">
        <v>80</v>
      </c>
      <c r="J84" s="16">
        <v>875</v>
      </c>
      <c r="K84" s="16">
        <v>1</v>
      </c>
      <c r="L84" s="17">
        <v>2.8880733944954128E-2</v>
      </c>
      <c r="M84" s="18">
        <v>40</v>
      </c>
      <c r="N84" s="18">
        <v>36</v>
      </c>
      <c r="O84" s="18">
        <v>0.87901796333668403</v>
      </c>
      <c r="P84" s="18">
        <v>1</v>
      </c>
      <c r="Q84" s="18">
        <v>1</v>
      </c>
      <c r="R84" s="18">
        <v>40</v>
      </c>
      <c r="S84" s="18">
        <v>3</v>
      </c>
      <c r="T84" s="19">
        <v>583</v>
      </c>
      <c r="U84" s="19">
        <v>2.7656685547590141</v>
      </c>
      <c r="V84" s="20">
        <v>948</v>
      </c>
      <c r="W84" s="20">
        <v>2.976808337338066</v>
      </c>
      <c r="X84" s="20">
        <v>1.6191842590694814E-2</v>
      </c>
      <c r="Z84" s="20"/>
      <c r="AB84" s="20"/>
      <c r="AD84" s="21">
        <v>648</v>
      </c>
      <c r="AE84" s="21">
        <f t="shared" si="35"/>
        <v>1.1889908256880733E-2</v>
      </c>
      <c r="AF84" s="21">
        <f t="shared" si="36"/>
        <v>2.8115750058705933</v>
      </c>
      <c r="AG84" s="22">
        <v>4.0366972477064221E-4</v>
      </c>
      <c r="AH84" s="22">
        <v>22</v>
      </c>
      <c r="AI84" s="22">
        <v>2.522365309</v>
      </c>
      <c r="AJ84" s="22">
        <v>58548</v>
      </c>
      <c r="AK84" s="23">
        <f t="shared" si="37"/>
        <v>4.7675120641598907</v>
      </c>
      <c r="AL84" s="24">
        <v>1.554791E-2</v>
      </c>
      <c r="AM84" s="22">
        <f>12833+22642</f>
        <v>35475</v>
      </c>
      <c r="AN84" s="22">
        <f t="shared" si="38"/>
        <v>0.65091743119266054</v>
      </c>
      <c r="AO84" s="23">
        <v>8.2699949329279682E-2</v>
      </c>
      <c r="AP84" s="33">
        <v>1.9736066E-2</v>
      </c>
      <c r="AQ84" s="23">
        <v>0.29526058882196532</v>
      </c>
      <c r="AR84" s="22">
        <v>54500</v>
      </c>
      <c r="AS84" s="23">
        <v>4.7363965022766426</v>
      </c>
      <c r="AT84" s="23">
        <v>4.7033085775595422</v>
      </c>
      <c r="AU84" s="22">
        <v>1.0960000000000001</v>
      </c>
      <c r="AV84" s="22">
        <v>1.095821288</v>
      </c>
      <c r="AW84" s="22">
        <v>47.988</v>
      </c>
      <c r="AX84" s="22">
        <v>41.542999999999999</v>
      </c>
      <c r="AY84" s="22">
        <v>1</v>
      </c>
      <c r="AZ84" s="24">
        <v>37497</v>
      </c>
      <c r="BA84" s="24">
        <f t="shared" si="29"/>
        <v>4.5739965227793498</v>
      </c>
      <c r="BB84" s="24">
        <v>32343</v>
      </c>
      <c r="BC84" s="24">
        <f t="shared" si="30"/>
        <v>4.5097803007595862</v>
      </c>
      <c r="BD84" s="24">
        <v>5154</v>
      </c>
      <c r="BE84" s="22">
        <v>3101</v>
      </c>
      <c r="BF84" s="22">
        <f t="shared" si="39"/>
        <v>515.5</v>
      </c>
      <c r="BG84" s="23">
        <v>-0.2495159728944821</v>
      </c>
      <c r="BH84" s="23">
        <v>5.6899082568807338E-2</v>
      </c>
      <c r="BI84" s="23">
        <v>8.1818541839927136E-2</v>
      </c>
      <c r="BJ84" s="23">
        <v>1.8275129534039761E-2</v>
      </c>
      <c r="BK84" s="23">
        <v>-0.30456982868104837</v>
      </c>
      <c r="BL84" s="22">
        <v>4132</v>
      </c>
      <c r="BM84" s="22">
        <v>6756</v>
      </c>
      <c r="BN84" s="22">
        <f t="shared" si="40"/>
        <v>531.5</v>
      </c>
      <c r="BO84" s="22">
        <v>3.8296896408989709</v>
      </c>
      <c r="BP84" s="22">
        <v>0.18017441395311626</v>
      </c>
      <c r="BQ84" s="22">
        <v>2.150846148631036E-3</v>
      </c>
      <c r="BR84" s="22">
        <v>1.6291396703558354E-2</v>
      </c>
      <c r="BS84" s="22">
        <v>-2374</v>
      </c>
      <c r="BT84" s="22">
        <v>3.3754807146185724</v>
      </c>
      <c r="BU84" s="22">
        <v>4.3559633027522936E-2</v>
      </c>
      <c r="BV84" s="23">
        <v>6696</v>
      </c>
      <c r="BW84" s="22">
        <v>20848</v>
      </c>
      <c r="BX84" s="22">
        <v>7.77</v>
      </c>
      <c r="BY84" s="22">
        <v>0.89042101880091429</v>
      </c>
      <c r="BZ84" s="25">
        <v>0.15111111111111106</v>
      </c>
      <c r="CA84" s="23">
        <v>5.8481641658683567E-2</v>
      </c>
      <c r="CB84" s="23">
        <v>5.848164165868357</v>
      </c>
      <c r="CC84" s="23">
        <v>0.76701955535371014</v>
      </c>
      <c r="CD84" s="23">
        <v>8.5261560679111809E-2</v>
      </c>
      <c r="CE84" s="23">
        <v>0.1103383471636334</v>
      </c>
      <c r="CF84" s="23">
        <v>1.219600725952813</v>
      </c>
      <c r="CG84" s="23">
        <f t="shared" si="31"/>
        <v>0.19852353137023498</v>
      </c>
      <c r="CH84" s="26">
        <v>11.56</v>
      </c>
      <c r="CI84" s="26">
        <v>12.07</v>
      </c>
      <c r="CJ84" s="26">
        <v>1.0629578340845103</v>
      </c>
      <c r="CK84" s="26">
        <v>1.0817072700973491</v>
      </c>
      <c r="CL84" s="26">
        <v>-4.2253521126760542E-2</v>
      </c>
      <c r="CM84" s="27">
        <v>13.296884615384608</v>
      </c>
      <c r="CN84" s="27">
        <v>3.681220260646025E-3</v>
      </c>
      <c r="CQ84" s="27">
        <v>67.989575289575299</v>
      </c>
      <c r="CR84" s="27">
        <v>-0.167971536975</v>
      </c>
      <c r="CS84" s="27">
        <v>0.84238461538461584</v>
      </c>
      <c r="CT84" s="27">
        <v>0.91873076923076902</v>
      </c>
      <c r="CU84" s="27">
        <v>-8.3099593921379125E-2</v>
      </c>
      <c r="CV84" s="27">
        <v>0.92230769230769172</v>
      </c>
      <c r="CW84" s="27">
        <v>1.9648758307920116</v>
      </c>
      <c r="CX84" s="28">
        <v>0.56000000000000005</v>
      </c>
      <c r="CY84" s="28">
        <v>0.94</v>
      </c>
      <c r="CZ84" s="29">
        <v>16.52657692</v>
      </c>
      <c r="DA84" s="27">
        <v>0.17782614249273998</v>
      </c>
      <c r="DB84" s="27">
        <v>1.322681365714484</v>
      </c>
      <c r="DC84" s="27">
        <v>1.72976924253802</v>
      </c>
      <c r="DD84" s="27">
        <v>3</v>
      </c>
      <c r="DE84" s="28">
        <v>0.97</v>
      </c>
      <c r="DF84" s="28">
        <v>93.131507999999997</v>
      </c>
      <c r="DG84" s="28">
        <v>4.5340125588216695</v>
      </c>
      <c r="DH84" s="28">
        <v>0.93028200000000005</v>
      </c>
      <c r="DI84" s="28">
        <v>1.7890440000000001</v>
      </c>
      <c r="DJ84" s="27">
        <v>2.1</v>
      </c>
      <c r="DK84" s="27">
        <v>1.8</v>
      </c>
      <c r="DL84" s="27">
        <v>7.6672365931182819E-3</v>
      </c>
      <c r="DM84" s="27">
        <v>0.75770000000000004</v>
      </c>
      <c r="DN84" s="28">
        <v>0.74250000000000005</v>
      </c>
      <c r="DO84" s="28">
        <v>-6.3682219419924316E-2</v>
      </c>
      <c r="DP84" s="28">
        <f t="shared" si="41"/>
        <v>-0.10225118483412314</v>
      </c>
      <c r="DQ84" s="27">
        <v>9.7799999999999998E-2</v>
      </c>
      <c r="DR84" s="27">
        <v>2.4490842135800685E-2</v>
      </c>
      <c r="DS84" s="27">
        <v>2.77430650961079E-2</v>
      </c>
      <c r="DT84" s="27">
        <v>3.2347817198611614E-2</v>
      </c>
      <c r="DU84" s="30">
        <v>4.6174650000000002</v>
      </c>
      <c r="DV84">
        <v>-0.5</v>
      </c>
      <c r="DW84">
        <v>-0.4</v>
      </c>
      <c r="DX84">
        <v>93.7</v>
      </c>
      <c r="DY84">
        <v>89.8</v>
      </c>
      <c r="DZ84">
        <v>1.6</v>
      </c>
      <c r="EA84">
        <v>1.7</v>
      </c>
      <c r="EB84">
        <v>2.2385109999999999</v>
      </c>
    </row>
    <row r="85" spans="1:132" ht="18">
      <c r="A85" s="14" t="s">
        <v>152</v>
      </c>
      <c r="B85" s="14">
        <v>6</v>
      </c>
      <c r="C85" s="14" t="s">
        <v>150</v>
      </c>
      <c r="D85" s="14" t="s">
        <v>151</v>
      </c>
      <c r="E85" s="14" t="s">
        <v>153</v>
      </c>
      <c r="F85" s="15">
        <v>13531</v>
      </c>
      <c r="G85" s="15">
        <v>4.1313298940428096</v>
      </c>
      <c r="H85" s="15">
        <v>5717</v>
      </c>
      <c r="I85" s="15">
        <v>83</v>
      </c>
      <c r="J85" s="16">
        <v>7731</v>
      </c>
      <c r="K85" s="16">
        <v>1</v>
      </c>
      <c r="L85" s="17">
        <v>0.1034076927191997</v>
      </c>
      <c r="M85" s="18">
        <v>40</v>
      </c>
      <c r="N85" s="18">
        <v>36</v>
      </c>
      <c r="O85" s="18">
        <v>0.87901796333668403</v>
      </c>
      <c r="P85" s="18">
        <v>1</v>
      </c>
      <c r="Q85" s="18">
        <v>1</v>
      </c>
      <c r="R85" s="18">
        <v>40</v>
      </c>
      <c r="S85" s="18">
        <v>3</v>
      </c>
      <c r="T85" s="19">
        <v>1737</v>
      </c>
      <c r="U85" s="19">
        <v>3.2397998184470986</v>
      </c>
      <c r="V85" s="20">
        <v>1202</v>
      </c>
      <c r="W85" s="20">
        <v>3.0799044676667209</v>
      </c>
      <c r="X85" s="20">
        <v>1.6353741496598639E-2</v>
      </c>
      <c r="Z85" s="20"/>
      <c r="AB85" s="20"/>
      <c r="AD85" s="21">
        <v>8846</v>
      </c>
      <c r="AE85" s="21">
        <f t="shared" si="35"/>
        <v>6.7603610213143192E-2</v>
      </c>
      <c r="AF85" s="21">
        <f t="shared" si="36"/>
        <v>3.9467469350335849</v>
      </c>
      <c r="AG85" s="22">
        <v>2.2162612437046718E-4</v>
      </c>
      <c r="AH85" s="22">
        <v>29</v>
      </c>
      <c r="AI85" s="22">
        <v>1.899335411</v>
      </c>
      <c r="AJ85" s="22">
        <v>73500</v>
      </c>
      <c r="AK85" s="23">
        <f t="shared" si="37"/>
        <v>4.8662873390841952</v>
      </c>
      <c r="AL85" s="24">
        <v>4.0646792000000001E-2</v>
      </c>
      <c r="AM85" s="22">
        <v>104218</v>
      </c>
      <c r="AN85" s="22">
        <f t="shared" si="38"/>
        <v>0.79646315274625334</v>
      </c>
      <c r="AO85" s="23">
        <v>9.6667758693312122E-2</v>
      </c>
      <c r="AP85" s="33">
        <v>2.5736539999999999E-2</v>
      </c>
      <c r="AQ85" s="23">
        <v>0.41055016028744346</v>
      </c>
      <c r="AR85" s="22">
        <v>130851</v>
      </c>
      <c r="AS85" s="23">
        <v>5.1167770459886812</v>
      </c>
      <c r="AT85" s="23">
        <v>4.7363965022766426</v>
      </c>
      <c r="AU85" s="22">
        <v>2.742</v>
      </c>
      <c r="AV85" s="22">
        <v>2.7418240530000002</v>
      </c>
      <c r="AW85" s="22">
        <v>50.585000000000001</v>
      </c>
      <c r="AX85" s="22">
        <v>47.988</v>
      </c>
      <c r="AY85" s="22">
        <v>2</v>
      </c>
      <c r="AZ85" s="24">
        <v>42734</v>
      </c>
      <c r="BA85" s="24">
        <f t="shared" si="29"/>
        <v>4.6307735456752157</v>
      </c>
      <c r="BB85" s="24">
        <v>36871</v>
      </c>
      <c r="BC85" s="24">
        <f t="shared" si="30"/>
        <v>4.5666849165210195</v>
      </c>
      <c r="BD85" s="24">
        <v>5863</v>
      </c>
      <c r="BE85" s="22">
        <v>4131</v>
      </c>
      <c r="BF85" s="22">
        <f t="shared" si="39"/>
        <v>515</v>
      </c>
      <c r="BG85" s="23">
        <v>0.33215091905836824</v>
      </c>
      <c r="BH85" s="23">
        <v>3.1570259302565511E-2</v>
      </c>
      <c r="BI85" s="23">
        <v>5.6899082568807338E-2</v>
      </c>
      <c r="BJ85" s="23">
        <v>1.8275129534039761E-2</v>
      </c>
      <c r="BK85" s="23">
        <v>-0.44515345630770065</v>
      </c>
      <c r="BL85" s="22">
        <v>3101</v>
      </c>
      <c r="BM85" s="22">
        <v>6070</v>
      </c>
      <c r="BN85" s="22">
        <f t="shared" si="40"/>
        <v>343</v>
      </c>
      <c r="BO85" s="22">
        <v>3.7831886910752575</v>
      </c>
      <c r="BP85" s="22">
        <v>0.1420414658117658</v>
      </c>
      <c r="BQ85" s="22">
        <v>1.9066474070675184E-2</v>
      </c>
      <c r="BR85" s="22">
        <v>2.150846148631036E-3</v>
      </c>
      <c r="BS85" s="22">
        <v>-35353</v>
      </c>
      <c r="BT85" s="22">
        <v>4.5484262732436349</v>
      </c>
      <c r="BU85" s="22">
        <v>0.27017753016790091</v>
      </c>
      <c r="BV85" s="23">
        <v>5127</v>
      </c>
      <c r="BW85" s="22">
        <v>73023</v>
      </c>
      <c r="BX85" s="22">
        <v>8.18</v>
      </c>
      <c r="BY85" s="22">
        <v>0.91275330367132301</v>
      </c>
      <c r="BZ85" s="25">
        <v>5.2767052767052791E-2</v>
      </c>
      <c r="CA85" s="23">
        <v>0.1103383471636334</v>
      </c>
      <c r="CB85" s="23">
        <v>11.033834716363341</v>
      </c>
      <c r="CC85" s="23">
        <v>1.0427264740653515</v>
      </c>
      <c r="CD85" s="23">
        <v>5.8481641658683567E-2</v>
      </c>
      <c r="CE85" s="23">
        <v>0.11257114313779702</v>
      </c>
      <c r="CF85" s="23">
        <v>1.212624584717608</v>
      </c>
      <c r="CG85" s="23">
        <f t="shared" si="31"/>
        <v>0.19278708883361584</v>
      </c>
      <c r="CH85" s="26">
        <v>22.5</v>
      </c>
      <c r="CI85" s="26">
        <v>11.56</v>
      </c>
      <c r="CJ85" s="26">
        <v>1.3521825181113625</v>
      </c>
      <c r="CK85" s="26">
        <v>1.0629578340845103</v>
      </c>
      <c r="CL85" s="26">
        <v>0.94636678200692037</v>
      </c>
      <c r="CM85" s="27">
        <v>18.34360153256705</v>
      </c>
      <c r="CN85" s="27">
        <v>0.37954130333231201</v>
      </c>
      <c r="CQ85" s="27">
        <v>77.833846153846167</v>
      </c>
      <c r="CR85" s="27">
        <v>0.14479088628430173</v>
      </c>
      <c r="CS85" s="27">
        <v>0.72605363984674265</v>
      </c>
      <c r="CT85" s="27">
        <v>0.84238461538461584</v>
      </c>
      <c r="CU85" s="27">
        <v>-0.13809722235342442</v>
      </c>
      <c r="CV85" s="27">
        <v>0.78180076628352502</v>
      </c>
      <c r="CW85" s="27">
        <v>1.8930960917710087</v>
      </c>
      <c r="CX85" s="28">
        <v>0.88</v>
      </c>
      <c r="CY85" s="28">
        <v>0.56000000000000005</v>
      </c>
      <c r="CZ85" s="29">
        <v>19.614636019999999</v>
      </c>
      <c r="DA85" s="27">
        <v>0.18685412683753744</v>
      </c>
      <c r="DB85" s="27">
        <v>2.3607257116750975</v>
      </c>
      <c r="DC85" s="27">
        <v>1.322681365714484</v>
      </c>
      <c r="DD85" s="27">
        <v>3</v>
      </c>
      <c r="DE85" s="28">
        <v>0.21</v>
      </c>
      <c r="DF85" s="28">
        <v>95.399326000000002</v>
      </c>
      <c r="DG85" s="28">
        <v>4.5580715134397662</v>
      </c>
      <c r="DH85" s="28">
        <v>0.94721599999999995</v>
      </c>
      <c r="DI85" s="28">
        <v>1.8760810000000001</v>
      </c>
      <c r="DJ85" s="27">
        <v>2</v>
      </c>
      <c r="DK85" s="27">
        <v>1.8</v>
      </c>
      <c r="DL85" s="27">
        <v>1.679984422560547E-2</v>
      </c>
      <c r="DM85" s="27">
        <v>0.6855</v>
      </c>
      <c r="DN85" s="28">
        <v>0.84760000000000002</v>
      </c>
      <c r="DO85" s="28">
        <v>0.14154882154882151</v>
      </c>
      <c r="DP85" s="28">
        <f t="shared" si="41"/>
        <v>-9.5288372706876123E-2</v>
      </c>
      <c r="DQ85" s="27">
        <v>0.10279999999999989</v>
      </c>
      <c r="DR85" s="27">
        <v>2.77430650961079E-2</v>
      </c>
      <c r="DS85" s="27">
        <v>5.0662060808238797E-2</v>
      </c>
      <c r="DT85" s="27">
        <v>2.4490842135800685E-2</v>
      </c>
      <c r="DU85" s="30">
        <v>4.6191050000000002</v>
      </c>
      <c r="DV85">
        <v>-0.9</v>
      </c>
      <c r="DW85">
        <v>-0.7</v>
      </c>
      <c r="DX85">
        <v>96.2</v>
      </c>
      <c r="DY85">
        <v>92.4</v>
      </c>
      <c r="DZ85">
        <v>2.1</v>
      </c>
      <c r="EA85">
        <v>1.9</v>
      </c>
      <c r="EB85">
        <v>2.1588159999999998</v>
      </c>
    </row>
    <row r="86" spans="1:132" ht="18">
      <c r="A86" s="14" t="s">
        <v>152</v>
      </c>
      <c r="B86" s="14">
        <v>7</v>
      </c>
      <c r="C86" s="14" t="s">
        <v>150</v>
      </c>
      <c r="D86" s="14" t="s">
        <v>151</v>
      </c>
      <c r="E86" s="14" t="s">
        <v>153</v>
      </c>
      <c r="F86" s="15">
        <v>13468</v>
      </c>
      <c r="G86" s="15">
        <v>4.1293031077160514</v>
      </c>
      <c r="H86" s="15">
        <v>6032</v>
      </c>
      <c r="I86" s="15">
        <v>72</v>
      </c>
      <c r="J86" s="16">
        <v>7364</v>
      </c>
      <c r="K86" s="16">
        <v>1</v>
      </c>
      <c r="L86" s="17">
        <v>0.10110579774336184</v>
      </c>
      <c r="M86" s="18">
        <v>40</v>
      </c>
      <c r="N86" s="18">
        <v>36</v>
      </c>
      <c r="O86" s="18">
        <v>0.87901796333668403</v>
      </c>
      <c r="P86" s="18">
        <v>1</v>
      </c>
      <c r="Q86" s="18">
        <v>1</v>
      </c>
      <c r="R86" s="18">
        <v>40</v>
      </c>
      <c r="S86" s="18">
        <v>3</v>
      </c>
      <c r="T86" s="19">
        <v>6020</v>
      </c>
      <c r="U86" s="19">
        <v>3.7795964912578244</v>
      </c>
      <c r="V86" s="20">
        <v>13376</v>
      </c>
      <c r="W86" s="20">
        <v>4.1263262600949409</v>
      </c>
      <c r="X86" s="20">
        <v>0.17604401100275069</v>
      </c>
      <c r="Z86" s="20"/>
      <c r="AB86" s="20"/>
      <c r="AD86" s="21">
        <v>8811</v>
      </c>
      <c r="AE86" s="21">
        <f t="shared" si="35"/>
        <v>6.614517255099206E-2</v>
      </c>
      <c r="AF86" s="21">
        <f t="shared" si="36"/>
        <v>3.9450252012424629</v>
      </c>
      <c r="AG86" s="22">
        <v>2.6650251112929498E-4</v>
      </c>
      <c r="AH86" s="22">
        <v>35.5</v>
      </c>
      <c r="AI86" s="22">
        <v>1.0280661719999999</v>
      </c>
      <c r="AJ86" s="22">
        <v>75981</v>
      </c>
      <c r="AK86" s="23">
        <f t="shared" si="37"/>
        <v>4.8807050050863507</v>
      </c>
      <c r="AL86" s="24">
        <v>0.101045706</v>
      </c>
      <c r="AM86" s="22">
        <v>106912</v>
      </c>
      <c r="AN86" s="22">
        <f t="shared" si="38"/>
        <v>0.80260046393958273</v>
      </c>
      <c r="AO86" s="23">
        <v>0.10128069557043826</v>
      </c>
      <c r="AP86" s="33">
        <v>4.0435066999999998E-2</v>
      </c>
      <c r="AQ86" s="23">
        <v>0.60675816706345653</v>
      </c>
      <c r="AR86" s="22">
        <v>133207</v>
      </c>
      <c r="AS86" s="23">
        <v>5.1245270475181757</v>
      </c>
      <c r="AT86" s="23">
        <v>5.1167770459886812</v>
      </c>
      <c r="AU86" s="22">
        <v>2.8820000000000001</v>
      </c>
      <c r="AV86" s="22">
        <v>2.882258985</v>
      </c>
      <c r="AW86" s="22">
        <v>27.033000000000001</v>
      </c>
      <c r="AX86" s="22">
        <v>50.585000000000001</v>
      </c>
      <c r="AY86" s="22">
        <v>1</v>
      </c>
      <c r="AZ86" s="24">
        <v>59577</v>
      </c>
      <c r="BA86" s="24">
        <f t="shared" si="29"/>
        <v>4.7750786305297712</v>
      </c>
      <c r="BB86" s="24">
        <v>51623</v>
      </c>
      <c r="BC86" s="24">
        <f t="shared" si="30"/>
        <v>4.71284323937072</v>
      </c>
      <c r="BD86" s="24">
        <v>7954</v>
      </c>
      <c r="BE86" s="22">
        <v>6034</v>
      </c>
      <c r="BF86" s="22">
        <f t="shared" si="39"/>
        <v>951.5</v>
      </c>
      <c r="BG86" s="23">
        <v>0.4606632776567417</v>
      </c>
      <c r="BH86" s="23">
        <v>4.5297919778990593E-2</v>
      </c>
      <c r="BI86" s="23">
        <v>3.1570259302565511E-2</v>
      </c>
      <c r="BJ86" s="23">
        <v>1.8275129534039761E-2</v>
      </c>
      <c r="BK86" s="23">
        <v>0.43482887944824467</v>
      </c>
      <c r="BL86" s="22">
        <v>4131</v>
      </c>
      <c r="BM86" s="22">
        <v>10510</v>
      </c>
      <c r="BN86" s="22">
        <f t="shared" si="40"/>
        <v>2220</v>
      </c>
      <c r="BO86" s="22">
        <v>4.0216027160282426</v>
      </c>
      <c r="BP86" s="22">
        <v>0.1764103597025698</v>
      </c>
      <c r="BQ86" s="22">
        <v>1.7184446945401995E-2</v>
      </c>
      <c r="BR86" s="22">
        <v>1.9066474070675184E-2</v>
      </c>
      <c r="BS86" s="22">
        <v>-2140</v>
      </c>
      <c r="BT86" s="22">
        <v>3.330413773349191</v>
      </c>
      <c r="BU86" s="22">
        <v>1.6065221797653278E-2</v>
      </c>
      <c r="BV86" s="23">
        <v>6650</v>
      </c>
      <c r="BW86" s="22">
        <v>75789</v>
      </c>
      <c r="BX86" s="22">
        <v>4.37</v>
      </c>
      <c r="BY86" s="22">
        <v>0.64048143697042181</v>
      </c>
      <c r="BZ86" s="25">
        <v>-0.46577017114914421</v>
      </c>
      <c r="CA86" s="23">
        <v>0.11257114313779702</v>
      </c>
      <c r="CB86" s="23">
        <v>11.257114313779702</v>
      </c>
      <c r="CC86" s="23">
        <v>1.0514270762863924</v>
      </c>
      <c r="CD86" s="23">
        <v>0.1103383471636334</v>
      </c>
      <c r="CE86" s="23">
        <v>5.1017012631756405E-2</v>
      </c>
      <c r="CF86" s="23">
        <v>2.0201149425287359</v>
      </c>
      <c r="CG86" s="23">
        <f t="shared" si="31"/>
        <v>0.70315441203619067</v>
      </c>
      <c r="CH86" s="26">
        <v>40</v>
      </c>
      <c r="CI86" s="26">
        <v>22.5</v>
      </c>
      <c r="CJ86" s="26">
        <v>1.6020599913279623</v>
      </c>
      <c r="CK86" s="26">
        <v>1.3521825181113625</v>
      </c>
      <c r="CL86" s="26">
        <v>0.77777777777777779</v>
      </c>
      <c r="CM86" s="27">
        <v>34.430804597701169</v>
      </c>
      <c r="CN86" s="27">
        <v>0.87699261437690179</v>
      </c>
      <c r="CO86" s="27">
        <v>14.002720000000007</v>
      </c>
      <c r="CQ86" s="27">
        <v>141.16230769230771</v>
      </c>
      <c r="CR86" s="27">
        <v>0.81363654332700808</v>
      </c>
      <c r="CS86" s="27">
        <v>1.4151340996168575</v>
      </c>
      <c r="CT86" s="27">
        <v>0.72605363984674265</v>
      </c>
      <c r="CU86" s="27">
        <v>0.94907651715039654</v>
      </c>
      <c r="CV86" s="27">
        <v>1.549389312977099</v>
      </c>
      <c r="CW86" s="27">
        <v>2.1901605560639821</v>
      </c>
      <c r="CX86" s="28">
        <v>2.34</v>
      </c>
      <c r="CY86" s="28">
        <v>0.88</v>
      </c>
      <c r="CZ86" s="29">
        <v>33.709007630000002</v>
      </c>
      <c r="DA86" s="27">
        <v>0.71856401493398725</v>
      </c>
      <c r="DB86" s="27">
        <v>3.1430399491928545</v>
      </c>
      <c r="DC86" s="27">
        <v>2.3607257116750975</v>
      </c>
      <c r="DD86" s="27">
        <v>3</v>
      </c>
      <c r="DE86" s="28">
        <v>0.05</v>
      </c>
      <c r="DF86" s="28">
        <v>97.766281000000006</v>
      </c>
      <c r="DG86" s="28">
        <v>4.5825797425410641</v>
      </c>
      <c r="DH86" s="28">
        <v>0.96834500000000001</v>
      </c>
      <c r="DI86" s="28">
        <v>1.820527</v>
      </c>
      <c r="DJ86" s="27">
        <v>2.1</v>
      </c>
      <c r="DK86" s="27">
        <v>2</v>
      </c>
      <c r="DL86" s="27">
        <v>4.1965997035105826E-2</v>
      </c>
      <c r="DM86" s="27">
        <v>0.71560000000000001</v>
      </c>
      <c r="DN86" s="28">
        <v>0.75849999999999995</v>
      </c>
      <c r="DO86" s="28">
        <v>-0.10512033978291654</v>
      </c>
      <c r="DP86" s="28">
        <f t="shared" si="41"/>
        <v>4.3909555069292512E-2</v>
      </c>
      <c r="DQ86" s="27">
        <v>0.17789999999999995</v>
      </c>
      <c r="DR86" s="27">
        <v>5.0662060808238797E-2</v>
      </c>
      <c r="DS86" s="27">
        <v>3.802148779895468E-2</v>
      </c>
      <c r="DT86" s="27">
        <v>2.77430650961079E-2</v>
      </c>
      <c r="DU86" s="30">
        <v>5.7984980000000004</v>
      </c>
      <c r="DV86">
        <v>-1</v>
      </c>
      <c r="DW86">
        <v>0.7</v>
      </c>
      <c r="DX86">
        <v>98</v>
      </c>
      <c r="DY86">
        <v>95</v>
      </c>
      <c r="DZ86">
        <v>1.6</v>
      </c>
      <c r="EA86">
        <v>1.7</v>
      </c>
      <c r="EB86">
        <v>2.0603549999999999</v>
      </c>
    </row>
    <row r="87" spans="1:132" ht="18">
      <c r="A87" s="14" t="s">
        <v>152</v>
      </c>
      <c r="B87" s="14">
        <v>8</v>
      </c>
      <c r="C87" s="14" t="s">
        <v>150</v>
      </c>
      <c r="D87" s="14" t="s">
        <v>151</v>
      </c>
      <c r="E87" s="14" t="s">
        <v>153</v>
      </c>
      <c r="F87" s="15">
        <v>18746</v>
      </c>
      <c r="G87" s="15">
        <v>4.2729086126902471</v>
      </c>
      <c r="H87" s="15">
        <v>6038</v>
      </c>
      <c r="I87" s="15">
        <v>102</v>
      </c>
      <c r="J87" s="16">
        <v>12606</v>
      </c>
      <c r="K87" s="16">
        <v>1</v>
      </c>
      <c r="L87" s="17">
        <v>0.11548009930327541</v>
      </c>
      <c r="M87" s="18">
        <v>40</v>
      </c>
      <c r="N87" s="18">
        <v>36</v>
      </c>
      <c r="O87" s="18">
        <v>0.87901796333668403</v>
      </c>
      <c r="P87" s="18">
        <v>1</v>
      </c>
      <c r="Q87" s="18">
        <v>1</v>
      </c>
      <c r="R87" s="18">
        <v>40</v>
      </c>
      <c r="S87" s="18">
        <v>3</v>
      </c>
      <c r="T87" s="19">
        <v>10180</v>
      </c>
      <c r="U87" s="19">
        <v>4.0077477780007396</v>
      </c>
      <c r="V87" s="20">
        <v>17817</v>
      </c>
      <c r="W87" s="20">
        <v>4.2508345799966838</v>
      </c>
      <c r="X87" s="20">
        <v>0.21939956654516796</v>
      </c>
      <c r="Z87" s="20"/>
      <c r="AB87" s="20"/>
      <c r="AD87" s="21">
        <v>8846</v>
      </c>
      <c r="AE87" s="21">
        <f t="shared" si="35"/>
        <v>5.4493596417196963E-2</v>
      </c>
      <c r="AF87" s="21">
        <f t="shared" si="36"/>
        <v>3.9467469350335849</v>
      </c>
      <c r="AG87" s="22">
        <v>5.2978174224270166E-4</v>
      </c>
      <c r="AH87" s="22">
        <v>86</v>
      </c>
      <c r="AI87" s="22">
        <v>0.83112359309999995</v>
      </c>
      <c r="AJ87" s="22">
        <v>81208</v>
      </c>
      <c r="AK87" s="23">
        <f t="shared" si="37"/>
        <v>4.9095988147672331</v>
      </c>
      <c r="AL87" s="24">
        <v>0.162885212</v>
      </c>
      <c r="AM87" s="22">
        <v>116398</v>
      </c>
      <c r="AN87" s="22">
        <f t="shared" si="38"/>
        <v>0.71704110736704629</v>
      </c>
      <c r="AO87" s="23">
        <v>0.10544337418797402</v>
      </c>
      <c r="AP87" s="33">
        <v>1.4762178000000001E-2</v>
      </c>
      <c r="AQ87" s="23">
        <v>0.169150437676723</v>
      </c>
      <c r="AR87" s="22">
        <v>162331</v>
      </c>
      <c r="AS87" s="23">
        <v>5.2104014640242902</v>
      </c>
      <c r="AT87" s="23">
        <v>5.1245270475181757</v>
      </c>
      <c r="AU87" s="22">
        <v>1.79</v>
      </c>
      <c r="AV87" s="22">
        <v>1.790063789</v>
      </c>
      <c r="AW87" s="22">
        <v>38.176000000000002</v>
      </c>
      <c r="AX87" s="22">
        <v>27.033000000000001</v>
      </c>
      <c r="AY87" s="22">
        <v>1</v>
      </c>
      <c r="AZ87" s="24">
        <v>62498</v>
      </c>
      <c r="BA87" s="24">
        <f t="shared" si="29"/>
        <v>4.7958661196982906</v>
      </c>
      <c r="BB87" s="24">
        <v>53594</v>
      </c>
      <c r="BC87" s="24">
        <f t="shared" si="30"/>
        <v>4.7291161719176307</v>
      </c>
      <c r="BD87" s="24">
        <v>8904</v>
      </c>
      <c r="BE87" s="22">
        <v>6590</v>
      </c>
      <c r="BF87" s="22">
        <f t="shared" si="39"/>
        <v>278</v>
      </c>
      <c r="BG87" s="23">
        <v>9.2144514418296325E-2</v>
      </c>
      <c r="BH87" s="23">
        <v>4.0596066062551207E-2</v>
      </c>
      <c r="BI87" s="23">
        <v>4.5297919778990593E-2</v>
      </c>
      <c r="BJ87" s="23">
        <v>1.8275129534039761E-2</v>
      </c>
      <c r="BK87" s="23">
        <v>-0.10379844680240989</v>
      </c>
      <c r="BL87" s="22">
        <v>6034</v>
      </c>
      <c r="BM87" s="22">
        <v>8926</v>
      </c>
      <c r="BN87" s="22">
        <f t="shared" si="40"/>
        <v>792</v>
      </c>
      <c r="BO87" s="22">
        <v>3.9506568825045107</v>
      </c>
      <c r="BP87" s="22">
        <v>0.14282057025824826</v>
      </c>
      <c r="BQ87" s="22">
        <v>1.6794894722160877E-2</v>
      </c>
      <c r="BR87" s="22">
        <v>1.7184446945401995E-2</v>
      </c>
      <c r="BS87" s="22">
        <v>-12676</v>
      </c>
      <c r="BT87" s="22">
        <v>4.1029822305182631</v>
      </c>
      <c r="BU87" s="22">
        <v>7.8087364705447512E-2</v>
      </c>
      <c r="BV87" s="23">
        <v>10007</v>
      </c>
      <c r="BW87" s="22">
        <v>82223</v>
      </c>
      <c r="BX87" s="22">
        <v>4.0599999999999996</v>
      </c>
      <c r="BY87" s="22">
        <v>0.60852603357719404</v>
      </c>
      <c r="BZ87" s="25">
        <v>-7.0938215102974947E-2</v>
      </c>
      <c r="CA87" s="23">
        <v>5.1017012631756405E-2</v>
      </c>
      <c r="CB87" s="23">
        <v>5.1017012631756407</v>
      </c>
      <c r="CC87" s="23">
        <v>0.70771502433397759</v>
      </c>
      <c r="CD87" s="23">
        <v>0.11257114313779702</v>
      </c>
      <c r="CE87" s="23">
        <v>7.5616203317777547E-2</v>
      </c>
      <c r="CF87" s="23">
        <v>1.5985401459854014</v>
      </c>
      <c r="CG87" s="23">
        <f t="shared" si="31"/>
        <v>0.46909080398837588</v>
      </c>
      <c r="CH87" s="26">
        <v>21.68</v>
      </c>
      <c r="CI87" s="26">
        <v>40</v>
      </c>
      <c r="CJ87" s="26">
        <v>1.3360592778663494</v>
      </c>
      <c r="CK87" s="26">
        <v>1.6020599913279623</v>
      </c>
      <c r="CL87" s="26">
        <v>-0.45800000000000002</v>
      </c>
      <c r="CM87" s="27">
        <v>32.806781609195411</v>
      </c>
      <c r="CN87" s="27">
        <v>-4.7167732717294325E-2</v>
      </c>
      <c r="CO87" s="27">
        <v>14.687391304347829</v>
      </c>
      <c r="CP87" s="27">
        <v>4.8895593452402179E-2</v>
      </c>
      <c r="CQ87" s="27">
        <v>128.33115384615388</v>
      </c>
      <c r="CR87" s="27">
        <v>-9.0896458522922177E-2</v>
      </c>
      <c r="CS87" s="27">
        <v>1.3546743295019157</v>
      </c>
      <c r="CT87" s="27">
        <v>1.4151340996168575</v>
      </c>
      <c r="CU87" s="27">
        <v>-4.272370380397951E-2</v>
      </c>
      <c r="CV87" s="27">
        <v>1.5608045977011498</v>
      </c>
      <c r="CW87" s="27">
        <v>2.1933485357004661</v>
      </c>
      <c r="CX87" s="28">
        <v>1.03</v>
      </c>
      <c r="CY87" s="28">
        <v>2.34</v>
      </c>
      <c r="CZ87" s="29">
        <v>33.580881230000003</v>
      </c>
      <c r="DA87" s="27">
        <v>-3.8009543741646867E-3</v>
      </c>
      <c r="DB87" s="27">
        <v>1.4102002336892525</v>
      </c>
      <c r="DC87" s="27">
        <v>3.1430399491928545</v>
      </c>
      <c r="DD87" s="27">
        <v>3</v>
      </c>
      <c r="DE87" s="28">
        <v>3.09</v>
      </c>
      <c r="DF87" s="28">
        <v>99.681093000000004</v>
      </c>
      <c r="DG87" s="28">
        <v>4.6019760200673092</v>
      </c>
      <c r="DH87" s="28">
        <v>0.98367700000000002</v>
      </c>
      <c r="DI87" s="28">
        <v>1.8275490000000001</v>
      </c>
      <c r="DJ87" s="27">
        <v>2.2999999999999998</v>
      </c>
      <c r="DK87" s="27">
        <v>2.6</v>
      </c>
      <c r="DL87" s="27">
        <v>2.4369778879479467E-2</v>
      </c>
      <c r="DM87" s="27">
        <v>0.69779999999999998</v>
      </c>
      <c r="DN87" s="28">
        <v>0.68400000000000005</v>
      </c>
      <c r="DO87" s="28">
        <v>-9.8220171390902972E-2</v>
      </c>
      <c r="DP87" s="28">
        <f t="shared" si="41"/>
        <v>-2.487423141419793E-2</v>
      </c>
      <c r="DQ87" s="27">
        <v>0.13560000000000005</v>
      </c>
      <c r="DR87" s="27">
        <v>3.802148779895468E-2</v>
      </c>
      <c r="DS87" s="27">
        <v>3.4239891893164551E-2</v>
      </c>
      <c r="DT87" s="27">
        <v>5.0662060808238797E-2</v>
      </c>
      <c r="DU87" s="30">
        <v>9.2708490000000001</v>
      </c>
      <c r="DV87">
        <v>2.2000000000000002</v>
      </c>
      <c r="DW87">
        <v>2.6</v>
      </c>
      <c r="DX87">
        <v>98.8</v>
      </c>
      <c r="DY87">
        <v>96.9</v>
      </c>
      <c r="DZ87">
        <v>1.3</v>
      </c>
      <c r="EA87">
        <v>2.5</v>
      </c>
      <c r="EB87">
        <v>1.1868369999999999</v>
      </c>
    </row>
    <row r="88" spans="1:132" ht="18">
      <c r="A88" s="14" t="s">
        <v>152</v>
      </c>
      <c r="B88" s="14">
        <v>9</v>
      </c>
      <c r="C88" s="14" t="s">
        <v>150</v>
      </c>
      <c r="D88" s="14" t="s">
        <v>151</v>
      </c>
      <c r="E88" s="14" t="s">
        <v>153</v>
      </c>
      <c r="F88" s="15">
        <v>22107</v>
      </c>
      <c r="G88" s="15">
        <v>4.3445298112424533</v>
      </c>
      <c r="H88" s="15">
        <v>8173</v>
      </c>
      <c r="I88" s="15">
        <v>0</v>
      </c>
      <c r="J88" s="16">
        <v>13934</v>
      </c>
      <c r="K88" s="16">
        <v>1</v>
      </c>
      <c r="L88" s="17">
        <v>0.13154856830028799</v>
      </c>
      <c r="M88" s="18">
        <v>40</v>
      </c>
      <c r="N88" s="18">
        <v>36</v>
      </c>
      <c r="O88" s="18">
        <v>0.87901796333668403</v>
      </c>
      <c r="P88" s="18">
        <v>1</v>
      </c>
      <c r="Q88" s="18">
        <v>1</v>
      </c>
      <c r="R88" s="18">
        <v>40</v>
      </c>
      <c r="S88" s="18">
        <v>3</v>
      </c>
      <c r="T88" s="19">
        <v>13590</v>
      </c>
      <c r="U88" s="19">
        <v>4.133219456732494</v>
      </c>
      <c r="V88" s="20">
        <v>17494</v>
      </c>
      <c r="W88" s="20">
        <v>4.2428891221893545</v>
      </c>
      <c r="X88" s="20">
        <v>0.22338564478439085</v>
      </c>
      <c r="Z88" s="20"/>
      <c r="AB88" s="20"/>
      <c r="AD88" s="21">
        <v>16740</v>
      </c>
      <c r="AE88" s="21">
        <f t="shared" si="35"/>
        <v>9.9612024849451364E-2</v>
      </c>
      <c r="AF88" s="21">
        <f t="shared" si="36"/>
        <v>4.2237554536572413</v>
      </c>
      <c r="AG88" s="22">
        <v>5.1769690333944253E-4</v>
      </c>
      <c r="AH88" s="22">
        <v>87</v>
      </c>
      <c r="AI88" s="22">
        <v>0.66379680640000005</v>
      </c>
      <c r="AJ88" s="22">
        <v>78313</v>
      </c>
      <c r="AK88" s="23">
        <f t="shared" si="37"/>
        <v>4.8938338611592656</v>
      </c>
      <c r="AL88" s="24">
        <v>0.188899545</v>
      </c>
      <c r="AM88" s="22">
        <v>114507</v>
      </c>
      <c r="AN88" s="22">
        <f t="shared" si="38"/>
        <v>0.68137838288148911</v>
      </c>
      <c r="AO88" s="23">
        <v>7.8854092823485253E-2</v>
      </c>
      <c r="AP88" s="33">
        <v>5.6655500000000005E-4</v>
      </c>
      <c r="AQ88" s="23">
        <v>-1.2467579233344663</v>
      </c>
      <c r="AR88" s="22">
        <v>168052</v>
      </c>
      <c r="AS88" s="23">
        <v>5.2254436854088597</v>
      </c>
      <c r="AT88" s="23">
        <v>5.2104014640242902</v>
      </c>
      <c r="AU88" s="22">
        <v>1.4990000000000001</v>
      </c>
      <c r="AV88" s="22">
        <v>1.4993743580000001</v>
      </c>
      <c r="AW88" s="22">
        <v>35.542999999999999</v>
      </c>
      <c r="AX88" s="22">
        <v>38.176000000000002</v>
      </c>
      <c r="AY88" s="22">
        <v>1</v>
      </c>
      <c r="AZ88" s="24">
        <v>71943</v>
      </c>
      <c r="BA88" s="24">
        <f t="shared" si="29"/>
        <v>4.8569885438005409</v>
      </c>
      <c r="BB88" s="24">
        <v>62399</v>
      </c>
      <c r="BC88" s="24">
        <f t="shared" si="30"/>
        <v>4.7951776297791886</v>
      </c>
      <c r="BD88" s="24">
        <v>9544</v>
      </c>
      <c r="BE88" s="22">
        <v>5673</v>
      </c>
      <c r="BF88" s="22">
        <f t="shared" si="39"/>
        <v>458.5</v>
      </c>
      <c r="BG88" s="23">
        <v>-0.13915022761760243</v>
      </c>
      <c r="BH88" s="23">
        <v>3.3757408421202964E-2</v>
      </c>
      <c r="BI88" s="23">
        <v>4.0596066062551207E-2</v>
      </c>
      <c r="BJ88" s="23">
        <v>1.8275129534039761E-2</v>
      </c>
      <c r="BK88" s="23">
        <v>-0.16845616594502302</v>
      </c>
      <c r="BL88" s="22">
        <v>6590</v>
      </c>
      <c r="BM88" s="22">
        <v>11725</v>
      </c>
      <c r="BN88" s="22">
        <f t="shared" si="40"/>
        <v>1399.5</v>
      </c>
      <c r="BO88" s="22">
        <v>4.0691128513871213</v>
      </c>
      <c r="BP88" s="22">
        <v>0.16297624508291286</v>
      </c>
      <c r="BQ88" s="22">
        <v>1.0077837412332299E-2</v>
      </c>
      <c r="BR88" s="22">
        <v>1.6794894722160877E-2</v>
      </c>
      <c r="BS88" s="22">
        <v>-4910</v>
      </c>
      <c r="BT88" s="22">
        <v>3.6910814921229687</v>
      </c>
      <c r="BU88" s="22">
        <v>2.9217147073524862E-2</v>
      </c>
      <c r="BV88" s="23">
        <v>10886</v>
      </c>
      <c r="BW88" s="22">
        <v>80284</v>
      </c>
      <c r="BX88" s="22">
        <v>3.78</v>
      </c>
      <c r="BY88" s="22">
        <v>0.57749179983722532</v>
      </c>
      <c r="BZ88" s="25">
        <v>-6.8965517241379268E-2</v>
      </c>
      <c r="CA88" s="23">
        <v>7.5616203317777547E-2</v>
      </c>
      <c r="CB88" s="23">
        <v>7.5616203317777551</v>
      </c>
      <c r="CC88" s="23">
        <v>0.87861486769018959</v>
      </c>
      <c r="CD88" s="23">
        <v>5.1017012631756405E-2</v>
      </c>
      <c r="CE88" s="23">
        <v>8.2624433947877066E-2</v>
      </c>
      <c r="CF88" s="23">
        <v>1.2514619883040936</v>
      </c>
      <c r="CG88" s="23">
        <f t="shared" si="31"/>
        <v>0.22431245851919168</v>
      </c>
      <c r="CH88" s="26">
        <v>17.75</v>
      </c>
      <c r="CI88" s="26">
        <v>21.68</v>
      </c>
      <c r="CJ88" s="26">
        <v>1.249198357391113</v>
      </c>
      <c r="CK88" s="26">
        <v>1.3360592778663494</v>
      </c>
      <c r="CL88" s="26">
        <v>-0.18127306273062729</v>
      </c>
      <c r="CM88" s="27">
        <v>23.674061302682002</v>
      </c>
      <c r="CN88" s="27">
        <v>-0.27837903806917774</v>
      </c>
      <c r="CO88" s="27">
        <v>13.172845849802364</v>
      </c>
      <c r="CP88" s="27">
        <v>-0.10311875153058132</v>
      </c>
      <c r="CQ88" s="27">
        <v>93.814615384615436</v>
      </c>
      <c r="CR88" s="27">
        <v>-0.26896460779054171</v>
      </c>
      <c r="CS88" s="27">
        <v>1.0575095785440605</v>
      </c>
      <c r="CT88" s="27">
        <v>1.3546743295019157</v>
      </c>
      <c r="CU88" s="27">
        <v>-0.21936250247475808</v>
      </c>
      <c r="CV88" s="27">
        <v>1.2699233716475098</v>
      </c>
      <c r="CW88" s="27">
        <v>2.1037775160152683</v>
      </c>
      <c r="CX88" s="28">
        <v>0.92</v>
      </c>
      <c r="CY88" s="28">
        <v>1.03</v>
      </c>
      <c r="CZ88" s="29">
        <v>26.404674329999999</v>
      </c>
      <c r="DA88" s="27">
        <v>-0.21369918349816944</v>
      </c>
      <c r="DB88" s="27">
        <v>3.3676575479931978</v>
      </c>
      <c r="DC88" s="27">
        <v>1.4102002336892525</v>
      </c>
      <c r="DD88" s="27">
        <v>3</v>
      </c>
      <c r="DE88" s="28">
        <v>3.23</v>
      </c>
      <c r="DF88" s="28">
        <v>100</v>
      </c>
      <c r="DG88" s="28">
        <v>4.6051701859880918</v>
      </c>
      <c r="DH88" s="28">
        <v>1</v>
      </c>
      <c r="DI88" s="28">
        <v>1.6306560000000001</v>
      </c>
      <c r="DJ88" s="27">
        <v>3.7</v>
      </c>
      <c r="DK88" s="27">
        <v>2.5</v>
      </c>
      <c r="DL88" s="27">
        <v>2.4833477735949187E-2</v>
      </c>
      <c r="DM88" s="27">
        <v>0.74709999999999999</v>
      </c>
      <c r="DN88" s="28">
        <v>0.71719999999999995</v>
      </c>
      <c r="DO88" s="28">
        <v>4.8538011695906276E-2</v>
      </c>
      <c r="DP88" s="28">
        <f t="shared" si="41"/>
        <v>7.0650616222413323E-2</v>
      </c>
      <c r="DQ88" s="27">
        <v>0.14990000000000003</v>
      </c>
      <c r="DR88" s="27">
        <v>3.4239891893164551E-2</v>
      </c>
      <c r="DS88" s="27">
        <v>2.4180879115385762E-2</v>
      </c>
      <c r="DT88" s="27">
        <v>3.802148779895468E-2</v>
      </c>
      <c r="DU88" s="30">
        <v>9.6228090000000002</v>
      </c>
      <c r="DV88">
        <v>2.7</v>
      </c>
      <c r="DW88">
        <v>2.9</v>
      </c>
      <c r="DX88">
        <v>100</v>
      </c>
      <c r="DY88">
        <v>100</v>
      </c>
      <c r="DZ88">
        <v>0.2</v>
      </c>
      <c r="EA88">
        <v>2</v>
      </c>
      <c r="EB88">
        <v>1.2855829999999999</v>
      </c>
    </row>
    <row r="89" spans="1:132" ht="18">
      <c r="A89" s="14" t="s">
        <v>152</v>
      </c>
      <c r="B89" s="14">
        <v>10</v>
      </c>
      <c r="C89" s="14" t="s">
        <v>150</v>
      </c>
      <c r="D89" s="14" t="s">
        <v>151</v>
      </c>
      <c r="E89" s="14" t="s">
        <v>153</v>
      </c>
      <c r="F89" s="15">
        <v>23388</v>
      </c>
      <c r="G89" s="15">
        <v>4.3689930851652461</v>
      </c>
      <c r="H89" s="15">
        <v>8706</v>
      </c>
      <c r="I89" s="15">
        <v>0</v>
      </c>
      <c r="J89" s="16">
        <v>14682</v>
      </c>
      <c r="K89" s="16">
        <v>1</v>
      </c>
      <c r="L89" s="17">
        <v>0.13766473797905715</v>
      </c>
      <c r="M89" s="18">
        <v>40</v>
      </c>
      <c r="N89" s="18">
        <v>36</v>
      </c>
      <c r="O89" s="18">
        <v>0.87901796333668403</v>
      </c>
      <c r="P89" s="18">
        <v>1</v>
      </c>
      <c r="Q89" s="18">
        <v>1</v>
      </c>
      <c r="R89" s="18">
        <v>40</v>
      </c>
      <c r="S89" s="18">
        <v>3</v>
      </c>
      <c r="T89" s="19">
        <v>159</v>
      </c>
      <c r="U89" s="19">
        <v>2.2013971243204513</v>
      </c>
      <c r="V89" s="20">
        <v>15696</v>
      </c>
      <c r="W89" s="20">
        <v>4.1957889900358731</v>
      </c>
      <c r="X89" s="20">
        <v>0.20828025477707007</v>
      </c>
      <c r="Z89" s="20"/>
      <c r="AB89" s="20"/>
      <c r="AD89" s="21">
        <v>17767</v>
      </c>
      <c r="AE89" s="21">
        <f t="shared" si="35"/>
        <v>0.10457881818342349</v>
      </c>
      <c r="AF89" s="21">
        <f t="shared" si="36"/>
        <v>4.249614102344581</v>
      </c>
      <c r="AG89" s="22">
        <v>5.7095431776845156E-4</v>
      </c>
      <c r="AH89" s="22">
        <v>97</v>
      </c>
      <c r="AI89" s="22">
        <v>0.53337016569999995</v>
      </c>
      <c r="AJ89" s="22">
        <v>75360</v>
      </c>
      <c r="AK89" s="23">
        <f t="shared" si="37"/>
        <v>4.8771408897848207</v>
      </c>
      <c r="AL89" s="24">
        <v>2.0496820000000002E-3</v>
      </c>
      <c r="AM89" s="22">
        <v>115591</v>
      </c>
      <c r="AN89" s="22">
        <f t="shared" si="38"/>
        <v>0.68038330458941321</v>
      </c>
      <c r="AO89" s="23">
        <v>6.8619236074407328E-2</v>
      </c>
      <c r="AP89" s="33">
        <v>2.2544279E-2</v>
      </c>
      <c r="AQ89" s="23">
        <v>0.35303635047299414</v>
      </c>
      <c r="AR89" s="22">
        <v>169891</v>
      </c>
      <c r="AS89" s="23">
        <v>5.2301703726661852</v>
      </c>
      <c r="AT89" s="23">
        <v>5.2254436854088597</v>
      </c>
      <c r="AU89" s="22">
        <v>1.512</v>
      </c>
      <c r="AV89" s="22">
        <v>1.451583794</v>
      </c>
      <c r="AW89" s="22">
        <v>28.962</v>
      </c>
      <c r="AX89" s="22">
        <v>35.542999999999999</v>
      </c>
      <c r="AY89" s="22">
        <v>1</v>
      </c>
      <c r="AZ89" s="24">
        <v>77573</v>
      </c>
      <c r="BA89" s="24">
        <f t="shared" si="29"/>
        <v>4.8897105873479108</v>
      </c>
      <c r="BB89" s="24">
        <v>68508</v>
      </c>
      <c r="BC89" s="24">
        <f t="shared" si="30"/>
        <v>4.8357412890543081</v>
      </c>
      <c r="BD89" s="24">
        <v>9065</v>
      </c>
      <c r="BE89" s="22">
        <v>5323</v>
      </c>
      <c r="BF89" s="22">
        <f t="shared" si="39"/>
        <v>175</v>
      </c>
      <c r="BG89" s="23">
        <v>-6.1695751806804158E-2</v>
      </c>
      <c r="BH89" s="23">
        <v>3.1331853953417192E-2</v>
      </c>
      <c r="BI89" s="23">
        <v>3.3757408421202964E-2</v>
      </c>
      <c r="BJ89" s="23">
        <v>1.8275129534039761E-2</v>
      </c>
      <c r="BK89" s="23">
        <v>-7.1852508270815171E-2</v>
      </c>
      <c r="BL89" s="22">
        <v>5673</v>
      </c>
      <c r="BM89" s="22">
        <v>11713</v>
      </c>
      <c r="BN89" s="22">
        <f t="shared" si="40"/>
        <v>6</v>
      </c>
      <c r="BO89" s="22">
        <v>4.0686681432858993</v>
      </c>
      <c r="BP89" s="22">
        <v>0.15099325796346666</v>
      </c>
      <c r="BQ89" s="22">
        <v>5.9914935597231017E-3</v>
      </c>
      <c r="BR89" s="22">
        <v>1.0077837412332299E-2</v>
      </c>
      <c r="BS89" s="22">
        <v>-7400</v>
      </c>
      <c r="BT89" s="22">
        <v>3.8692317197309762</v>
      </c>
      <c r="BU89" s="22">
        <v>4.3557339706046819E-2</v>
      </c>
      <c r="BV89" s="23">
        <v>9909</v>
      </c>
      <c r="BW89" s="22">
        <v>78821</v>
      </c>
      <c r="BX89" s="22">
        <v>3.08</v>
      </c>
      <c r="BY89" s="22">
        <v>0.48855071650044429</v>
      </c>
      <c r="BZ89" s="25">
        <v>-0.18518518518518512</v>
      </c>
      <c r="CA89" s="23">
        <v>8.2624433947877066E-2</v>
      </c>
      <c r="CB89" s="23">
        <v>8.2624433947877058</v>
      </c>
      <c r="CC89" s="23">
        <v>0.91710849719378074</v>
      </c>
      <c r="CD89" s="23">
        <v>7.5616203317777547E-2</v>
      </c>
      <c r="CE89" s="23">
        <v>8.2157876739029467E-2</v>
      </c>
      <c r="CF89" s="23">
        <v>1.7482014388489211</v>
      </c>
      <c r="CG89" s="23">
        <f t="shared" si="31"/>
        <v>0.55858751020985686</v>
      </c>
      <c r="CH89" s="26">
        <v>23.4</v>
      </c>
      <c r="CI89" s="26">
        <v>17.75</v>
      </c>
      <c r="CJ89" s="26">
        <v>1.3692158574101427</v>
      </c>
      <c r="CK89" s="26">
        <v>1.249198357391113</v>
      </c>
      <c r="CL89" s="26">
        <v>0.31830985915492949</v>
      </c>
      <c r="CM89" s="27">
        <v>25.275999999999993</v>
      </c>
      <c r="CN89" s="27">
        <v>6.7666408261623831E-2</v>
      </c>
      <c r="CO89" s="27">
        <v>14.393934426229498</v>
      </c>
      <c r="CP89" s="27">
        <v>9.2697401180433139E-2</v>
      </c>
      <c r="CQ89" s="27">
        <v>94.493822393822356</v>
      </c>
      <c r="CR89" s="27">
        <v>7.2398848134946573E-3</v>
      </c>
      <c r="CS89" s="27">
        <v>1.0720384615384604</v>
      </c>
      <c r="CT89" s="27">
        <v>1.0575095785440605</v>
      </c>
      <c r="CU89" s="27">
        <v>1.37387720065881E-2</v>
      </c>
      <c r="CV89" s="27">
        <v>1.268846153846154</v>
      </c>
      <c r="CW89" s="27">
        <v>2.1034089675745258</v>
      </c>
      <c r="CX89" s="28">
        <v>0.92</v>
      </c>
      <c r="CY89" s="28">
        <v>0.92</v>
      </c>
      <c r="CZ89" s="29">
        <v>29.99596154</v>
      </c>
      <c r="DA89" s="27">
        <v>0.13600952487112158</v>
      </c>
      <c r="DB89" s="27">
        <v>1.9709466682529033</v>
      </c>
      <c r="DC89" s="27">
        <v>3.3676575479931978</v>
      </c>
      <c r="DD89" s="27">
        <v>3</v>
      </c>
      <c r="DE89" s="28">
        <v>4.03</v>
      </c>
      <c r="DF89" s="28">
        <v>101.469887</v>
      </c>
      <c r="DG89" s="28">
        <v>4.6197620746607271</v>
      </c>
      <c r="DH89" s="28">
        <v>1.020214</v>
      </c>
      <c r="DI89" s="28">
        <v>1.632409</v>
      </c>
      <c r="DJ89" s="27">
        <v>3.9</v>
      </c>
      <c r="DK89" s="27">
        <v>2.7</v>
      </c>
      <c r="DL89" s="27">
        <v>1.6688062333233E-2</v>
      </c>
      <c r="DM89" s="27">
        <v>0.77139999999999997</v>
      </c>
      <c r="DN89" s="28">
        <v>0.69699999999999995</v>
      </c>
      <c r="DO89" s="28">
        <v>-2.8165086447295033E-2</v>
      </c>
      <c r="DP89" s="28">
        <f>(DM89-DM88)/DM88</f>
        <v>3.2525766296345855E-2</v>
      </c>
      <c r="DQ89" s="27">
        <v>0.10270000000000001</v>
      </c>
      <c r="DR89" s="27">
        <v>2.4180879115385762E-2</v>
      </c>
      <c r="DS89" s="27">
        <v>2.0079372103467861E-2</v>
      </c>
      <c r="DT89" s="27">
        <v>3.4239891893164551E-2</v>
      </c>
      <c r="DU89" s="30">
        <v>8.9420310000000001</v>
      </c>
      <c r="DV89">
        <v>2.2000000000000002</v>
      </c>
      <c r="DW89">
        <v>2.4</v>
      </c>
      <c r="DX89">
        <v>102.1</v>
      </c>
      <c r="DY89">
        <v>102.1</v>
      </c>
      <c r="DZ89">
        <v>0.9</v>
      </c>
      <c r="EA89">
        <v>0.7</v>
      </c>
      <c r="EB89">
        <v>1.494866</v>
      </c>
    </row>
    <row r="90" spans="1:132" ht="18">
      <c r="A90" s="14" t="s">
        <v>152</v>
      </c>
      <c r="B90" s="14">
        <v>11</v>
      </c>
      <c r="C90" s="14" t="s">
        <v>150</v>
      </c>
      <c r="D90" s="14" t="s">
        <v>151</v>
      </c>
      <c r="E90" s="14" t="s">
        <v>153</v>
      </c>
      <c r="F90" s="15">
        <v>21923</v>
      </c>
      <c r="G90" s="15">
        <v>4.340899983858713</v>
      </c>
      <c r="H90" s="15">
        <v>7799</v>
      </c>
      <c r="I90" s="15">
        <v>0</v>
      </c>
      <c r="J90" s="16">
        <v>14124</v>
      </c>
      <c r="K90" s="16">
        <v>1</v>
      </c>
      <c r="L90" s="17">
        <v>0.12771473178915971</v>
      </c>
      <c r="M90" s="18">
        <v>40</v>
      </c>
      <c r="N90" s="18">
        <v>36</v>
      </c>
      <c r="O90" s="18">
        <v>0.87901796333668403</v>
      </c>
      <c r="P90" s="18">
        <v>1</v>
      </c>
      <c r="Q90" s="18">
        <v>1</v>
      </c>
      <c r="R90" s="18">
        <v>40</v>
      </c>
      <c r="S90" s="18">
        <v>3</v>
      </c>
      <c r="T90" s="19">
        <v>574</v>
      </c>
      <c r="U90" s="19">
        <v>2.7589118923979736</v>
      </c>
      <c r="V90" s="20">
        <v>25795.7</v>
      </c>
      <c r="W90" s="20">
        <v>4.4115473175170417</v>
      </c>
      <c r="X90" s="20">
        <v>0.35000000000000003</v>
      </c>
      <c r="Z90" s="20"/>
      <c r="AB90" s="20"/>
      <c r="AD90" s="21">
        <v>17239</v>
      </c>
      <c r="AE90" s="21">
        <f t="shared" si="35"/>
        <v>0.10042759938481614</v>
      </c>
      <c r="AF90" s="21">
        <f t="shared" si="36"/>
        <v>4.2365120696628278</v>
      </c>
      <c r="AG90" s="22"/>
      <c r="AH90" s="22"/>
      <c r="AI90" s="22">
        <v>0.5412919974</v>
      </c>
      <c r="AJ90" s="22">
        <v>73702</v>
      </c>
      <c r="AK90" s="23">
        <f t="shared" si="37"/>
        <v>4.867479273166766</v>
      </c>
      <c r="AL90" s="24">
        <v>6.9408339999999999E-3</v>
      </c>
      <c r="AM90" s="22">
        <v>118498</v>
      </c>
      <c r="AN90" s="22">
        <f t="shared" si="38"/>
        <v>0.69032250547606844</v>
      </c>
      <c r="AO90" s="23">
        <v>2.5090992635944814E-2</v>
      </c>
      <c r="AP90" s="33">
        <v>1.6723691999999998E-2</v>
      </c>
      <c r="AQ90" s="23">
        <v>0.22333216055667346</v>
      </c>
      <c r="AR90" s="22">
        <v>171656</v>
      </c>
      <c r="AS90" s="23">
        <v>5.2346589881949201</v>
      </c>
      <c r="AT90" s="23">
        <v>5.2301703726661852</v>
      </c>
      <c r="AU90" s="22">
        <v>1.5720000000000001</v>
      </c>
      <c r="AV90" s="22">
        <v>1.572293916</v>
      </c>
      <c r="AW90" s="22">
        <v>28.774000000000001</v>
      </c>
      <c r="AX90" s="22">
        <v>28.962</v>
      </c>
      <c r="AY90" s="22">
        <v>1</v>
      </c>
      <c r="AZ90" s="24">
        <v>82699</v>
      </c>
      <c r="BA90" s="24">
        <f t="shared" si="29"/>
        <v>4.917500258076033</v>
      </c>
      <c r="BB90" s="24">
        <v>77192</v>
      </c>
      <c r="BC90" s="24">
        <f t="shared" si="30"/>
        <v>4.8875722933942063</v>
      </c>
      <c r="BD90" s="24">
        <v>5507</v>
      </c>
      <c r="BE90" s="22">
        <v>2075</v>
      </c>
      <c r="BF90" s="22">
        <f t="shared" si="39"/>
        <v>1624</v>
      </c>
      <c r="BG90" s="23">
        <v>-0.61018222806687961</v>
      </c>
      <c r="BH90" s="23">
        <v>1.2088129747867828E-2</v>
      </c>
      <c r="BI90" s="23">
        <v>3.1331853953417192E-2</v>
      </c>
      <c r="BJ90" s="23">
        <v>1.8275129534039761E-2</v>
      </c>
      <c r="BK90" s="23">
        <v>-0.61419040935656344</v>
      </c>
      <c r="BL90" s="22">
        <v>5323</v>
      </c>
      <c r="BM90" s="22">
        <v>10415</v>
      </c>
      <c r="BN90" s="22">
        <f t="shared" si="40"/>
        <v>649</v>
      </c>
      <c r="BO90" s="22">
        <v>4.0176592742837647</v>
      </c>
      <c r="BP90" s="22">
        <v>0.12593864496547721</v>
      </c>
      <c r="BQ90" s="22">
        <v>1.2527306498994722E-2</v>
      </c>
      <c r="BR90" s="22">
        <v>5.9914935597231017E-3</v>
      </c>
      <c r="BS90" s="22">
        <v>-6588</v>
      </c>
      <c r="BT90" s="22">
        <v>3.8187535904977166</v>
      </c>
      <c r="BU90" s="22">
        <v>3.8379083748893136E-2</v>
      </c>
      <c r="BV90" s="23">
        <v>7583</v>
      </c>
      <c r="BW90" s="22">
        <v>83580</v>
      </c>
      <c r="BX90" s="22">
        <v>3.06</v>
      </c>
      <c r="BY90" s="22">
        <v>0.48572142648158001</v>
      </c>
      <c r="BZ90" s="25">
        <v>-6.4935064935064991E-3</v>
      </c>
      <c r="CA90" s="23">
        <v>8.2157876739029467E-2</v>
      </c>
      <c r="CB90" s="23">
        <v>8.2157876739029465</v>
      </c>
      <c r="CC90" s="23">
        <v>0.91464920697142083</v>
      </c>
      <c r="CD90" s="23">
        <v>8.2624433947877066E-2</v>
      </c>
      <c r="CE90" s="23">
        <v>4.7195008996811616E-2</v>
      </c>
      <c r="CF90" s="23">
        <v>1.6485148514851484</v>
      </c>
      <c r="CG90" s="23">
        <f t="shared" si="31"/>
        <v>0.499874792579239</v>
      </c>
      <c r="CH90" s="26">
        <v>18.02</v>
      </c>
      <c r="CI90" s="26">
        <v>23.4</v>
      </c>
      <c r="CJ90" s="26">
        <v>1.2557547866430441</v>
      </c>
      <c r="CK90" s="26">
        <v>1.3692158574101427</v>
      </c>
      <c r="CL90" s="26">
        <v>-0.22991452991452987</v>
      </c>
      <c r="CM90" s="27">
        <v>18.608429118773955</v>
      </c>
      <c r="CN90" s="27">
        <v>-0.26379058716672099</v>
      </c>
      <c r="CO90" s="27">
        <v>10.244782608695646</v>
      </c>
      <c r="CP90" s="27">
        <v>-0.28825696259759365</v>
      </c>
      <c r="CQ90" s="27">
        <v>71.254230769230816</v>
      </c>
      <c r="CR90" s="27">
        <v>-0.24593768180670883</v>
      </c>
      <c r="CS90" s="27">
        <v>0.83494252873563157</v>
      </c>
      <c r="CT90" s="27">
        <v>1.0720384615384604</v>
      </c>
      <c r="CU90" s="27">
        <v>-0.22116364413136569</v>
      </c>
      <c r="CV90" s="27">
        <v>0.95088122605364045</v>
      </c>
      <c r="CW90" s="27">
        <v>1.9781262728880398</v>
      </c>
      <c r="CX90" s="28">
        <v>0.54</v>
      </c>
      <c r="CY90" s="28">
        <v>0.92</v>
      </c>
      <c r="CZ90" s="29">
        <v>24.56237548</v>
      </c>
      <c r="DA90" s="27">
        <v>-0.18114392008251654</v>
      </c>
      <c r="DB90" s="27">
        <v>1.7682050254071211</v>
      </c>
      <c r="DC90" s="27">
        <v>1.9709466682529033</v>
      </c>
      <c r="DD90" s="27">
        <v>3</v>
      </c>
      <c r="DE90" s="28">
        <v>4.92</v>
      </c>
      <c r="DF90" s="28">
        <v>102.850263</v>
      </c>
      <c r="DG90" s="28">
        <v>4.6332741732177194</v>
      </c>
      <c r="DH90" s="28">
        <v>1.0408090000000001</v>
      </c>
      <c r="DI90" s="28">
        <v>1.6106499999999999</v>
      </c>
      <c r="DJ90" s="27">
        <v>4.0999999999999996</v>
      </c>
      <c r="DK90" s="27">
        <v>1.9</v>
      </c>
      <c r="DL90" s="27">
        <v>1.6829215601661535E-2</v>
      </c>
      <c r="DM90" s="27">
        <v>0.75800000000000001</v>
      </c>
      <c r="DN90" s="28">
        <v>0.74839999999999995</v>
      </c>
      <c r="DO90" s="28">
        <v>7.3744619799139169E-2</v>
      </c>
      <c r="DP90" s="28">
        <f t="shared" si="41"/>
        <v>-1.7371013741249636E-2</v>
      </c>
      <c r="DQ90" s="27">
        <v>8.4699999999999998E-2</v>
      </c>
      <c r="DR90" s="27">
        <v>2.0079372103467861E-2</v>
      </c>
      <c r="DS90" s="27">
        <v>1.50675227484701E-2</v>
      </c>
      <c r="DT90" s="27">
        <v>2.4180879115385762E-2</v>
      </c>
      <c r="DU90" s="30">
        <v>8.0652849999999994</v>
      </c>
      <c r="DV90">
        <v>0.9</v>
      </c>
      <c r="DW90">
        <v>1.4</v>
      </c>
      <c r="DX90">
        <v>103.9</v>
      </c>
      <c r="DY90">
        <v>103.8</v>
      </c>
      <c r="DZ90">
        <v>0.1</v>
      </c>
      <c r="EA90">
        <v>0</v>
      </c>
      <c r="EB90">
        <v>1.826854</v>
      </c>
    </row>
    <row r="91" spans="1:132" ht="18">
      <c r="A91" s="14" t="s">
        <v>152</v>
      </c>
      <c r="B91" s="14">
        <v>12</v>
      </c>
      <c r="C91" s="14" t="s">
        <v>150</v>
      </c>
      <c r="D91" s="14" t="s">
        <v>151</v>
      </c>
      <c r="E91" s="14" t="s">
        <v>153</v>
      </c>
      <c r="F91" s="15">
        <v>21292</v>
      </c>
      <c r="G91" s="15">
        <v>4.3282164575007176</v>
      </c>
      <c r="H91" s="15">
        <v>6783</v>
      </c>
      <c r="I91" s="15">
        <v>0</v>
      </c>
      <c r="J91" s="16">
        <v>14509</v>
      </c>
      <c r="K91" s="16">
        <v>1</v>
      </c>
      <c r="L91" s="17">
        <v>0.12993622799255486</v>
      </c>
      <c r="M91" s="18">
        <v>40</v>
      </c>
      <c r="N91" s="18">
        <v>36</v>
      </c>
      <c r="O91" s="18">
        <v>0.87901796333668403</v>
      </c>
      <c r="P91" s="18">
        <v>1</v>
      </c>
      <c r="Q91" s="18">
        <v>1</v>
      </c>
      <c r="R91" s="18">
        <v>40</v>
      </c>
      <c r="S91" s="18">
        <v>3</v>
      </c>
      <c r="T91" s="19">
        <v>10128</v>
      </c>
      <c r="U91" s="19">
        <v>4.0055236926732798</v>
      </c>
      <c r="V91" s="20">
        <v>25701.84</v>
      </c>
      <c r="W91" s="20">
        <v>4.4099642156753447</v>
      </c>
      <c r="X91" s="20">
        <v>0.36538398112080978</v>
      </c>
      <c r="Z91" s="20"/>
      <c r="AB91" s="20"/>
      <c r="AD91" s="21">
        <v>17321</v>
      </c>
      <c r="AE91" s="21">
        <f t="shared" si="35"/>
        <v>0.10570286516339669</v>
      </c>
      <c r="AF91" s="21">
        <f t="shared" si="36"/>
        <v>4.2385729616966286</v>
      </c>
      <c r="AG91" s="22">
        <v>4.6379641778293107E-4</v>
      </c>
      <c r="AH91" s="22">
        <v>76</v>
      </c>
      <c r="AI91" s="22">
        <v>0.55250605689999999</v>
      </c>
      <c r="AJ91" s="22">
        <v>70342</v>
      </c>
      <c r="AK91" s="23">
        <f t="shared" si="37"/>
        <v>4.8472147122410263</v>
      </c>
      <c r="AL91" s="24">
        <v>0.134273744</v>
      </c>
      <c r="AM91" s="22">
        <v>111033</v>
      </c>
      <c r="AN91" s="22">
        <f t="shared" si="38"/>
        <v>0.67758825862752881</v>
      </c>
      <c r="AO91" s="23">
        <v>6.3371692209789471E-2</v>
      </c>
      <c r="AP91" s="33">
        <v>7.2558978999999996E-2</v>
      </c>
      <c r="AQ91" s="23">
        <v>0.86069116300207027</v>
      </c>
      <c r="AR91" s="22">
        <v>163865</v>
      </c>
      <c r="AS91" s="23">
        <v>5.2144862023193017</v>
      </c>
      <c r="AT91" s="23">
        <v>5.2346589881949201</v>
      </c>
      <c r="AU91" s="22">
        <v>1.333</v>
      </c>
      <c r="AV91" s="22">
        <v>1.3327150210000001</v>
      </c>
      <c r="AW91" s="22">
        <v>29.19</v>
      </c>
      <c r="AX91" s="22">
        <v>28.774000000000001</v>
      </c>
      <c r="AY91" s="22">
        <v>1</v>
      </c>
      <c r="AZ91" s="24">
        <v>75428</v>
      </c>
      <c r="BA91" s="24">
        <f t="shared" si="29"/>
        <v>4.8775325923973814</v>
      </c>
      <c r="BB91" s="24">
        <v>68545</v>
      </c>
      <c r="BC91" s="24">
        <f t="shared" si="30"/>
        <v>4.8359757807651178</v>
      </c>
      <c r="BD91" s="24">
        <v>6883</v>
      </c>
      <c r="BE91" s="22">
        <v>4780</v>
      </c>
      <c r="BF91" s="22">
        <f t="shared" si="39"/>
        <v>1352.5</v>
      </c>
      <c r="BG91" s="23">
        <v>1.3036144578313253</v>
      </c>
      <c r="BH91" s="23">
        <v>2.9170353644768561E-2</v>
      </c>
      <c r="BI91" s="23">
        <v>1.2088129747867828E-2</v>
      </c>
      <c r="BJ91" s="23">
        <v>1.8275129534039761E-2</v>
      </c>
      <c r="BK91" s="23">
        <v>1.4131403495163339</v>
      </c>
      <c r="BL91" s="22">
        <v>2075</v>
      </c>
      <c r="BM91" s="22">
        <v>7254</v>
      </c>
      <c r="BN91" s="22">
        <f t="shared" si="40"/>
        <v>1580.5</v>
      </c>
      <c r="BO91" s="22">
        <v>3.8605775512444156</v>
      </c>
      <c r="BP91" s="22">
        <v>9.6171183115023595E-2</v>
      </c>
      <c r="BQ91" s="22">
        <v>1.4883730925226858E-2</v>
      </c>
      <c r="BR91" s="22">
        <v>1.2527306498994722E-2</v>
      </c>
      <c r="BS91" s="22">
        <v>-4103</v>
      </c>
      <c r="BT91" s="22">
        <v>3.6131015169669127</v>
      </c>
      <c r="BU91" s="22">
        <v>2.5038903975833766E-2</v>
      </c>
      <c r="BV91" s="23">
        <v>8701</v>
      </c>
      <c r="BW91" s="22">
        <v>70410</v>
      </c>
      <c r="BX91" s="22">
        <v>3.1</v>
      </c>
      <c r="BY91" s="22">
        <v>0.49136169383427269</v>
      </c>
      <c r="BZ91" s="25">
        <v>1.3071895424836612E-2</v>
      </c>
      <c r="CA91" s="23">
        <v>4.7195008996811616E-2</v>
      </c>
      <c r="CB91" s="23">
        <v>4.7195008996811616</v>
      </c>
      <c r="CC91" s="23">
        <v>0.67389607321559519</v>
      </c>
      <c r="CD91" s="23">
        <v>8.2157876739029467E-2</v>
      </c>
      <c r="CE91" s="23">
        <v>4.1213374519089616E-2</v>
      </c>
      <c r="CF91" s="23">
        <v>1.4912280701754388</v>
      </c>
      <c r="CG91" s="23">
        <f t="shared" si="31"/>
        <v>0.39959998865576646</v>
      </c>
      <c r="CH91" s="26">
        <v>13.72</v>
      </c>
      <c r="CI91" s="26">
        <v>18.02</v>
      </c>
      <c r="CJ91" s="26">
        <v>1.1373541113707328</v>
      </c>
      <c r="CK91" s="26">
        <v>1.2557547866430441</v>
      </c>
      <c r="CL91" s="26">
        <v>-0.23862375138734734</v>
      </c>
      <c r="CM91" s="27">
        <v>14.834099616858232</v>
      </c>
      <c r="CN91" s="27">
        <v>-0.20282902322516949</v>
      </c>
      <c r="CO91" s="27">
        <v>8.3248809523809495</v>
      </c>
      <c r="CP91" s="27">
        <v>-0.18740286930882333</v>
      </c>
      <c r="CQ91" s="27">
        <v>73.031538461538446</v>
      </c>
      <c r="CR91" s="27">
        <v>2.494318825872599E-2</v>
      </c>
      <c r="CS91" s="27">
        <v>0.8023754789272034</v>
      </c>
      <c r="CT91" s="27">
        <v>0.83494252873563157</v>
      </c>
      <c r="CU91" s="27">
        <v>-3.9005139500733109E-2</v>
      </c>
      <c r="CV91" s="27">
        <v>0.96896551724137914</v>
      </c>
      <c r="CW91" s="27">
        <v>1.9863083220061237</v>
      </c>
      <c r="CX91" s="28">
        <v>0.62</v>
      </c>
      <c r="CY91" s="28">
        <v>0.54</v>
      </c>
      <c r="CZ91" s="29">
        <v>18.565019159999999</v>
      </c>
      <c r="DA91" s="27">
        <v>-0.24416841623821645</v>
      </c>
      <c r="DB91" s="27">
        <v>1.1698744465812936</v>
      </c>
      <c r="DC91" s="27">
        <v>1.7682050254071211</v>
      </c>
      <c r="DD91" s="27">
        <v>3</v>
      </c>
      <c r="DE91" s="28">
        <v>4.0999999999999996</v>
      </c>
      <c r="DF91" s="28">
        <v>104.25988099999999</v>
      </c>
      <c r="DG91" s="28">
        <v>4.6468866379619822</v>
      </c>
      <c r="DH91" s="28">
        <v>1.053852</v>
      </c>
      <c r="DI91" s="28">
        <v>1.652474</v>
      </c>
      <c r="DJ91" s="27">
        <v>2.9</v>
      </c>
      <c r="DK91" s="27">
        <v>1.3</v>
      </c>
      <c r="DL91" s="27">
        <v>1.2152522197973097E-2</v>
      </c>
      <c r="DM91" s="27">
        <v>0.72770000000000001</v>
      </c>
      <c r="DN91" s="28">
        <v>0.77380000000000004</v>
      </c>
      <c r="DO91" s="28">
        <v>3.3939070016034328E-2</v>
      </c>
      <c r="DP91" s="28">
        <f>(DM91-DM90)/DM90</f>
        <v>-3.9973614775725586E-2</v>
      </c>
      <c r="DQ91" s="27">
        <v>5.8499999999999996E-2</v>
      </c>
      <c r="DR91" s="27">
        <v>1.50675227484701E-2</v>
      </c>
      <c r="DS91" s="27">
        <v>3.1335239457349999E-2</v>
      </c>
      <c r="DT91" s="27">
        <v>2.0079372103467861E-2</v>
      </c>
      <c r="DU91" s="30">
        <v>7.3719619999999999</v>
      </c>
      <c r="DV91">
        <v>1.5</v>
      </c>
      <c r="DW91">
        <v>2.1</v>
      </c>
      <c r="DX91">
        <v>105.4</v>
      </c>
      <c r="DY91">
        <v>105.7</v>
      </c>
      <c r="DZ91">
        <v>0.2</v>
      </c>
      <c r="EA91">
        <v>0.8</v>
      </c>
      <c r="EB91">
        <v>1.343728</v>
      </c>
    </row>
    <row r="92" spans="1:132" ht="18">
      <c r="A92" s="14" t="s">
        <v>152</v>
      </c>
      <c r="B92" s="14">
        <v>13</v>
      </c>
      <c r="C92" s="14" t="s">
        <v>150</v>
      </c>
      <c r="D92" s="14" t="s">
        <v>151</v>
      </c>
      <c r="E92" s="14" t="s">
        <v>153</v>
      </c>
      <c r="F92" s="15">
        <v>23667</v>
      </c>
      <c r="G92" s="15">
        <v>4.3741432107800255</v>
      </c>
      <c r="H92" s="15">
        <v>8718</v>
      </c>
      <c r="I92" s="15">
        <v>0</v>
      </c>
      <c r="J92" s="15">
        <v>14949</v>
      </c>
      <c r="K92" s="16">
        <v>1</v>
      </c>
      <c r="L92" s="17">
        <v>0.14202983784821824</v>
      </c>
      <c r="M92" s="18">
        <v>40</v>
      </c>
      <c r="N92" s="18">
        <v>36</v>
      </c>
      <c r="O92" s="18">
        <v>0.87901796333668403</v>
      </c>
      <c r="P92" s="18">
        <v>1</v>
      </c>
      <c r="Q92" s="18">
        <v>1</v>
      </c>
      <c r="R92" s="18">
        <v>40</v>
      </c>
      <c r="S92" s="18">
        <v>3</v>
      </c>
      <c r="T92" s="19">
        <v>10692</v>
      </c>
      <c r="U92" s="19">
        <v>4.0290589500845</v>
      </c>
      <c r="V92" s="20">
        <v>24825.96</v>
      </c>
      <c r="W92" s="20">
        <v>4.3949060513120912</v>
      </c>
      <c r="X92" s="20">
        <v>0.36</v>
      </c>
      <c r="Z92" s="20"/>
      <c r="AD92" s="21">
        <v>18559</v>
      </c>
      <c r="AE92" s="21">
        <f t="shared" si="35"/>
        <v>0.11137582966261388</v>
      </c>
      <c r="AF92" s="21">
        <f t="shared" si="36"/>
        <v>4.2685545717652751</v>
      </c>
      <c r="AG92" s="22"/>
      <c r="AH92" s="22"/>
      <c r="AI92" s="22">
        <v>0.69033141070000004</v>
      </c>
      <c r="AJ92" s="22">
        <v>68961</v>
      </c>
      <c r="AK92" s="23">
        <f t="shared" si="37"/>
        <v>4.8386035505448035</v>
      </c>
      <c r="AL92" s="24">
        <v>0.14581060400000001</v>
      </c>
      <c r="AM92" s="22">
        <v>115489</v>
      </c>
      <c r="AN92" s="22">
        <f>AM92/AR92</f>
        <v>0.69306984168897101</v>
      </c>
      <c r="AO92" s="23">
        <v>1.0528038402792931E-2</v>
      </c>
      <c r="AP92" s="33">
        <v>7.1126720000000004E-2</v>
      </c>
      <c r="AQ92" s="23">
        <v>0.8520327817226625</v>
      </c>
      <c r="AR92" s="22">
        <v>166634</v>
      </c>
      <c r="AS92" s="23">
        <v>5.2217636195548849</v>
      </c>
      <c r="AT92" s="23">
        <v>5.2144862023193017</v>
      </c>
      <c r="AU92" s="22">
        <v>1.377</v>
      </c>
      <c r="AV92" s="22">
        <v>1.3774758039999999</v>
      </c>
      <c r="AW92" s="22">
        <v>35.307000000000002</v>
      </c>
      <c r="AX92" s="22">
        <v>29.19</v>
      </c>
      <c r="AY92" s="22">
        <v>1</v>
      </c>
      <c r="AZ92" s="24">
        <v>73328</v>
      </c>
      <c r="BA92" s="24">
        <f t="shared" si="29"/>
        <v>4.8652698399007113</v>
      </c>
      <c r="BB92" s="24">
        <v>72479</v>
      </c>
      <c r="BC92" s="24">
        <f t="shared" si="30"/>
        <v>4.8602121927057613</v>
      </c>
      <c r="BD92" s="24">
        <v>849</v>
      </c>
      <c r="BE92" s="22">
        <v>772</v>
      </c>
      <c r="BF92" s="22">
        <f t="shared" si="39"/>
        <v>2004</v>
      </c>
      <c r="BG92" s="23">
        <v>-0.83849372384937237</v>
      </c>
      <c r="BH92" s="23">
        <v>4.632908049977796E-3</v>
      </c>
      <c r="BI92" s="23">
        <v>2.9170353644768561E-2</v>
      </c>
      <c r="BJ92" s="23">
        <v>1.8275129534039761E-2</v>
      </c>
      <c r="BK92" s="23">
        <v>-0.84117751514443273</v>
      </c>
      <c r="BL92" s="22">
        <v>4780</v>
      </c>
      <c r="BM92" s="22">
        <v>10058</v>
      </c>
      <c r="BN92" s="22">
        <f>STDEVP(BM91:BM92)</f>
        <v>1402</v>
      </c>
      <c r="BO92" s="22">
        <v>4.0025116312849081</v>
      </c>
      <c r="BP92" s="22">
        <v>0.13716452105607679</v>
      </c>
      <c r="BQ92" s="22">
        <v>2.0496668970526603E-2</v>
      </c>
      <c r="BR92" s="22">
        <v>1.4883730925226858E-2</v>
      </c>
      <c r="BS92" s="22">
        <v>-6137</v>
      </c>
      <c r="BT92" s="22">
        <v>3.7879561232839318</v>
      </c>
      <c r="BU92" s="22">
        <v>3.6829218526831256E-2</v>
      </c>
      <c r="BV92" s="23">
        <v>4601</v>
      </c>
      <c r="BW92" s="22">
        <v>70451</v>
      </c>
      <c r="BX92" s="22">
        <v>3.75</v>
      </c>
      <c r="BY92" s="22">
        <v>0.57403126772771884</v>
      </c>
      <c r="BZ92" s="25">
        <v>0.20967741935483866</v>
      </c>
      <c r="CA92" s="23">
        <v>4.1213374519089616E-2</v>
      </c>
      <c r="CB92" s="23">
        <v>4.1213374519089614</v>
      </c>
      <c r="CC92" s="23">
        <v>0.61503817567527075</v>
      </c>
      <c r="CD92" s="23">
        <v>4.7195008996811616E-2</v>
      </c>
      <c r="CE92" s="23">
        <v>2.845754E-2</v>
      </c>
      <c r="CF92" s="23">
        <v>1.4378205128205126</v>
      </c>
      <c r="CG92" s="23">
        <f t="shared" si="31"/>
        <v>0.36312843427662544</v>
      </c>
      <c r="CH92" s="26">
        <v>19.2</v>
      </c>
      <c r="CI92" s="26">
        <v>13.72</v>
      </c>
      <c r="CJ92" s="26">
        <v>1.2833012287035497</v>
      </c>
      <c r="CK92" s="26">
        <v>1.1373541113707328</v>
      </c>
      <c r="CL92" s="26">
        <v>0.39941690962099113</v>
      </c>
      <c r="CM92" s="27">
        <v>14.883180076628348</v>
      </c>
      <c r="CN92" s="27">
        <v>3.3086241186042575E-3</v>
      </c>
      <c r="CO92" s="27">
        <v>6.9159523809523806</v>
      </c>
      <c r="CP92" s="27">
        <v>-0.16924308941926786</v>
      </c>
      <c r="CQ92" s="27">
        <v>64.583076923076902</v>
      </c>
      <c r="CR92" s="27">
        <v>-0.11568237115682381</v>
      </c>
      <c r="CS92" s="27">
        <v>0.66574712643678124</v>
      </c>
      <c r="CT92" s="27">
        <v>0.8023754789272034</v>
      </c>
      <c r="CU92" s="27">
        <v>-0.1702798204564997</v>
      </c>
      <c r="CV92" s="27">
        <v>0.67685823754789287</v>
      </c>
      <c r="CW92" s="27">
        <v>1.8304977187626064</v>
      </c>
      <c r="CX92" s="28">
        <v>1.33</v>
      </c>
      <c r="CY92" s="28">
        <v>0.62</v>
      </c>
      <c r="CZ92" s="29">
        <v>18.278045980000002</v>
      </c>
      <c r="DA92" s="27">
        <v>-1.5457736807420394E-2</v>
      </c>
      <c r="DC92" s="27">
        <v>1.1698744465812936</v>
      </c>
      <c r="DD92" s="27">
        <v>3</v>
      </c>
      <c r="DE92" s="28">
        <v>2.68</v>
      </c>
      <c r="DF92" s="28">
        <v>105.125326</v>
      </c>
      <c r="DG92" s="28">
        <v>4.6551532193584588</v>
      </c>
      <c r="DH92" s="28">
        <v>1.061404</v>
      </c>
      <c r="DI92" s="28">
        <v>1.6300559999999999</v>
      </c>
      <c r="DJ92" s="27">
        <v>2</v>
      </c>
      <c r="DK92" s="27">
        <v>1</v>
      </c>
      <c r="DL92" s="27">
        <v>1.7108786898118553E-2</v>
      </c>
      <c r="DM92" s="27">
        <v>0.8266</v>
      </c>
      <c r="DN92" s="28">
        <v>0.75860000000000005</v>
      </c>
      <c r="DO92" s="28">
        <v>-1.9643318686999211E-2</v>
      </c>
      <c r="DP92" s="28">
        <f t="shared" si="41"/>
        <v>0.13590765425312626</v>
      </c>
      <c r="DQ92" s="27">
        <v>0.10860000000000003</v>
      </c>
      <c r="DR92" s="27">
        <v>3.1335239457349999E-2</v>
      </c>
      <c r="DS92" s="27">
        <v>2.7611694356583942E-2</v>
      </c>
      <c r="DT92" s="27">
        <v>1.50675227484701E-2</v>
      </c>
      <c r="DU92" s="30">
        <v>6.1553740000000001</v>
      </c>
      <c r="DV92">
        <v>1.6</v>
      </c>
      <c r="DW92">
        <v>2.2999999999999998</v>
      </c>
      <c r="DX92">
        <v>107</v>
      </c>
      <c r="DY92">
        <v>107.5</v>
      </c>
      <c r="DZ92">
        <v>0.4</v>
      </c>
      <c r="EA92">
        <v>1.1000000000000001</v>
      </c>
      <c r="EB92">
        <v>1.4054869999999999</v>
      </c>
    </row>
    <row r="93" spans="1:132" ht="18">
      <c r="A93" s="14" t="s">
        <v>154</v>
      </c>
      <c r="B93" s="14">
        <v>1</v>
      </c>
      <c r="C93" s="14" t="s">
        <v>133</v>
      </c>
      <c r="D93" s="14" t="s">
        <v>134</v>
      </c>
      <c r="E93" s="14" t="s">
        <v>145</v>
      </c>
      <c r="F93" s="15">
        <v>1555.5</v>
      </c>
      <c r="G93" s="15">
        <v>3.1918700154447222</v>
      </c>
      <c r="H93" s="15">
        <v>1467.8</v>
      </c>
      <c r="I93" s="15">
        <v>87.7</v>
      </c>
      <c r="J93" s="16">
        <v>0</v>
      </c>
      <c r="K93" s="16">
        <v>1</v>
      </c>
      <c r="L93" s="17">
        <v>0.10388907812218237</v>
      </c>
      <c r="M93" s="18">
        <v>130</v>
      </c>
      <c r="N93" s="18">
        <v>64</v>
      </c>
      <c r="O93" s="18">
        <v>0.86177514792899435</v>
      </c>
      <c r="P93" s="18">
        <v>3</v>
      </c>
      <c r="Q93" s="18">
        <f>(3+3+1)/3</f>
        <v>2.3333333333333335</v>
      </c>
      <c r="R93" s="18">
        <v>130</v>
      </c>
      <c r="S93" s="18">
        <v>5</v>
      </c>
      <c r="T93" s="19">
        <v>6989</v>
      </c>
      <c r="U93" s="19">
        <v>3.8444150404738244</v>
      </c>
      <c r="V93" s="20">
        <v>25736</v>
      </c>
      <c r="W93" s="20">
        <v>4.4105410478939131</v>
      </c>
      <c r="X93" s="20">
        <v>0.50971460260244394</v>
      </c>
      <c r="Y93" s="20">
        <v>0.42183847730000001</v>
      </c>
      <c r="Z93" s="20">
        <f t="shared" si="27"/>
        <v>-0.37485380933589707</v>
      </c>
      <c r="AA93" s="20"/>
      <c r="AB93" s="20"/>
      <c r="AC93" s="20"/>
      <c r="AD93" s="21">
        <v>1083.5999999999999</v>
      </c>
      <c r="AE93" s="21">
        <f t="shared" si="35"/>
        <v>7.2371716524073801E-2</v>
      </c>
      <c r="AF93" s="21">
        <f t="shared" si="36"/>
        <v>3.0348689963611304</v>
      </c>
      <c r="AG93" s="22">
        <v>3.1323675756543573E-2</v>
      </c>
      <c r="AH93" s="22">
        <v>469</v>
      </c>
      <c r="AI93" s="22">
        <v>6.6021719799999996</v>
      </c>
      <c r="AJ93" s="22">
        <v>50491</v>
      </c>
      <c r="AK93" s="23">
        <f t="shared" si="37"/>
        <v>4.7032139722043231</v>
      </c>
      <c r="AL93" s="24">
        <v>0.489151736</v>
      </c>
      <c r="AM93" s="22">
        <f>2646.1+3380.2</f>
        <v>6026.2999999999993</v>
      </c>
      <c r="AN93" s="22">
        <f t="shared" ref="AN93:AN102" si="42">AM93/AR93</f>
        <v>0.40248585759415462</v>
      </c>
      <c r="AO93" s="23">
        <v>8.9942609182530789E-2</v>
      </c>
      <c r="AP93" s="23">
        <v>2.4786936564676065E-4</v>
      </c>
      <c r="AQ93" s="23">
        <v>-1.6057771446830884</v>
      </c>
      <c r="AR93" s="22">
        <v>14972.7</v>
      </c>
      <c r="AS93" s="23">
        <v>4.1753001229461786</v>
      </c>
      <c r="AT93" s="23">
        <f>LOG(14872)</f>
        <v>4.1723693767638421</v>
      </c>
      <c r="AU93" s="22">
        <v>0.81200000000000006</v>
      </c>
      <c r="AV93" s="22">
        <v>0.3565307607</v>
      </c>
      <c r="AW93" s="22">
        <v>49</v>
      </c>
      <c r="AX93" s="22"/>
      <c r="AY93" s="22">
        <v>1</v>
      </c>
      <c r="AZ93" s="24">
        <v>14288</v>
      </c>
      <c r="BA93" s="24">
        <f t="shared" si="29"/>
        <v>4.154971441544471</v>
      </c>
      <c r="BB93" s="24">
        <v>2519</v>
      </c>
      <c r="BC93" s="24">
        <f t="shared" si="30"/>
        <v>3.4012281674981129</v>
      </c>
      <c r="BD93" s="24">
        <v>11769</v>
      </c>
      <c r="BE93" s="22">
        <v>1285.0999999999999</v>
      </c>
      <c r="BF93" s="22"/>
      <c r="BH93" s="23">
        <v>8.5829543101778566E-2</v>
      </c>
      <c r="BI93" s="23">
        <v>8.2682992465016147E-2</v>
      </c>
      <c r="BJ93" s="23">
        <v>2.940285676664384E-2</v>
      </c>
      <c r="BK93" s="23">
        <v>3.8055596960810893E-2</v>
      </c>
      <c r="BL93" s="22">
        <v>1229</v>
      </c>
      <c r="BM93" s="22">
        <v>1836.3</v>
      </c>
      <c r="BN93" s="22"/>
      <c r="BO93" s="22">
        <v>3.2639436342188497</v>
      </c>
      <c r="BP93" s="22">
        <v>0.12852043673012317</v>
      </c>
      <c r="BQ93" s="22"/>
      <c r="BR93" s="22"/>
      <c r="BS93" s="22">
        <v>-1191.2</v>
      </c>
      <c r="BT93" s="22">
        <v>3.0759846847441197</v>
      </c>
      <c r="BU93" s="22">
        <v>7.9558129128346922E-2</v>
      </c>
      <c r="BV93" s="23">
        <v>1860.4</v>
      </c>
      <c r="BW93" s="22">
        <v>2646.1</v>
      </c>
      <c r="BX93" s="22">
        <v>57.92</v>
      </c>
      <c r="BY93" s="22">
        <v>1.7628285531890906</v>
      </c>
      <c r="BZ93" s="25">
        <v>-0.28405438813349815</v>
      </c>
      <c r="CA93" s="23">
        <v>0.44323322524034581</v>
      </c>
      <c r="CB93" s="23">
        <v>44.32332252403458</v>
      </c>
      <c r="CC93" s="23">
        <v>1.6466323081231298</v>
      </c>
      <c r="CD93" s="33">
        <v>0.21786923999999999</v>
      </c>
      <c r="CE93" s="23">
        <v>0.41905923921147131</v>
      </c>
      <c r="CF93" s="23">
        <v>1.458298926507019</v>
      </c>
      <c r="CG93" s="23">
        <f t="shared" si="31"/>
        <v>0.37727063761081309</v>
      </c>
      <c r="CH93" s="26">
        <v>28.62</v>
      </c>
      <c r="CI93" s="26">
        <v>23.8</v>
      </c>
      <c r="CJ93" s="26">
        <v>1.4566696294237576</v>
      </c>
      <c r="CK93" s="26">
        <v>1.3765769570565121</v>
      </c>
      <c r="CL93" s="26">
        <v>0.20252100840336135</v>
      </c>
      <c r="CM93" s="27">
        <v>28.164291187739472</v>
      </c>
      <c r="CN93" s="27">
        <v>5.6821432935815153E-2</v>
      </c>
      <c r="CQ93" s="27">
        <v>125.09884615384618</v>
      </c>
      <c r="CR93" s="27">
        <v>0.13726223776223803</v>
      </c>
      <c r="CS93" s="27">
        <v>0.92386973180076593</v>
      </c>
      <c r="CT93" s="27">
        <v>1.0645593900000001</v>
      </c>
      <c r="CU93" s="27">
        <v>-0.12842478132003218</v>
      </c>
      <c r="CX93" s="28">
        <v>0.76</v>
      </c>
      <c r="CY93" s="28">
        <v>0.82</v>
      </c>
      <c r="CZ93" s="29">
        <v>37.275402300000003</v>
      </c>
      <c r="DA93" s="27">
        <v>0.32652677224199295</v>
      </c>
      <c r="DB93" s="27">
        <v>2.5105365885464708</v>
      </c>
      <c r="DC93" s="27">
        <v>1.25643310503606</v>
      </c>
      <c r="DD93" s="27">
        <v>1</v>
      </c>
      <c r="DE93" s="27">
        <v>1.5</v>
      </c>
      <c r="DF93" s="27">
        <v>87.3</v>
      </c>
      <c r="DG93" s="28">
        <v>4.4693504628455569</v>
      </c>
      <c r="DH93" s="27">
        <v>0.88536000000000004</v>
      </c>
      <c r="DI93" s="27">
        <v>2.5</v>
      </c>
      <c r="DJ93" s="27">
        <v>2.7</v>
      </c>
      <c r="DK93" s="27">
        <v>2.2999999999999998</v>
      </c>
      <c r="DL93" s="27">
        <v>1.1731637610823707E-2</v>
      </c>
      <c r="DM93" s="27">
        <v>0.95289999999999997</v>
      </c>
      <c r="DN93" s="28">
        <v>1.1605000000000001</v>
      </c>
      <c r="DO93" s="28">
        <v>9.3264248704663183E-2</v>
      </c>
      <c r="DP93" s="28">
        <f>(DM93-1.1242)/1.1242</f>
        <v>-0.15237502223803603</v>
      </c>
      <c r="DQ93" s="27">
        <v>0.20879999999999999</v>
      </c>
      <c r="DR93" s="27">
        <v>6.0688564775993471E-2</v>
      </c>
      <c r="DS93" s="27">
        <v>3.9305854754660308E-2</v>
      </c>
      <c r="DT93" s="27">
        <v>3.268886E-2</v>
      </c>
      <c r="DU93" s="30">
        <v>5.7817160000000003</v>
      </c>
      <c r="DV93">
        <v>0.9</v>
      </c>
      <c r="DW93">
        <v>2.8</v>
      </c>
      <c r="DX93">
        <v>84</v>
      </c>
      <c r="DY93">
        <v>80.900000000000006</v>
      </c>
      <c r="DZ93">
        <v>2.2000000000000002</v>
      </c>
      <c r="EA93">
        <v>3</v>
      </c>
      <c r="EB93">
        <v>1.701892</v>
      </c>
    </row>
    <row r="94" spans="1:132" ht="18">
      <c r="A94" s="14" t="s">
        <v>154</v>
      </c>
      <c r="B94" s="14">
        <v>2</v>
      </c>
      <c r="C94" s="14" t="s">
        <v>133</v>
      </c>
      <c r="D94" s="14" t="s">
        <v>134</v>
      </c>
      <c r="E94" s="14" t="s">
        <v>145</v>
      </c>
      <c r="F94" s="15">
        <v>1835.8</v>
      </c>
      <c r="G94" s="15">
        <v>3.2638253655212144</v>
      </c>
      <c r="H94" s="15">
        <v>1283.0999999999999</v>
      </c>
      <c r="I94" s="15">
        <v>552.70000000000005</v>
      </c>
      <c r="J94" s="16">
        <v>0</v>
      </c>
      <c r="K94" s="16">
        <v>1</v>
      </c>
      <c r="L94" s="17">
        <v>0.12228802099639624</v>
      </c>
      <c r="M94" s="18">
        <v>130</v>
      </c>
      <c r="N94" s="18">
        <v>64</v>
      </c>
      <c r="O94" s="18">
        <v>0.86177514792899435</v>
      </c>
      <c r="P94" s="18">
        <v>3</v>
      </c>
      <c r="Q94" s="18">
        <f t="shared" ref="Q94:Q105" si="43">(3+3+1)/3</f>
        <v>2.3333333333333335</v>
      </c>
      <c r="R94" s="18">
        <v>130</v>
      </c>
      <c r="S94" s="18">
        <v>5</v>
      </c>
      <c r="T94" s="19">
        <v>6483</v>
      </c>
      <c r="U94" s="19">
        <v>3.811776021602904</v>
      </c>
      <c r="V94" s="20">
        <v>25763</v>
      </c>
      <c r="W94" s="20">
        <v>4.4109964335163827</v>
      </c>
      <c r="X94" s="20">
        <v>0.51015841584158417</v>
      </c>
      <c r="Y94" s="20">
        <v>0.37251015119999997</v>
      </c>
      <c r="Z94" s="20">
        <f t="shared" si="27"/>
        <v>-0.4288618878819298</v>
      </c>
      <c r="AA94" s="20"/>
      <c r="AB94" s="20"/>
      <c r="AC94" s="20"/>
      <c r="AD94" s="21">
        <v>887</v>
      </c>
      <c r="AE94" s="21">
        <f t="shared" si="35"/>
        <v>5.9085670892147002E-2</v>
      </c>
      <c r="AF94" s="21">
        <f t="shared" si="36"/>
        <v>2.9479236198317262</v>
      </c>
      <c r="AG94" s="22">
        <v>3.1974207472638738E-2</v>
      </c>
      <c r="AH94" s="22">
        <v>480</v>
      </c>
      <c r="AI94" s="22">
        <v>5.40846596</v>
      </c>
      <c r="AJ94" s="22">
        <v>50500</v>
      </c>
      <c r="AK94" s="23">
        <f t="shared" si="37"/>
        <v>4.7032913781186609</v>
      </c>
      <c r="AL94" s="24">
        <v>0.46211089799999999</v>
      </c>
      <c r="AM94" s="22">
        <f>1941.2+3495.4</f>
        <v>5436.6</v>
      </c>
      <c r="AN94" s="22">
        <f t="shared" si="42"/>
        <v>0.36214786738697452</v>
      </c>
      <c r="AO94" s="23">
        <v>9.2607508678389919E-2</v>
      </c>
      <c r="AP94" s="33">
        <v>2.4508009999999998E-3</v>
      </c>
      <c r="AQ94" s="23">
        <v>-0.61069195113492891</v>
      </c>
      <c r="AR94" s="22">
        <v>15012.1</v>
      </c>
      <c r="AS94" s="23">
        <v>4.1764414487135699</v>
      </c>
      <c r="AT94" s="23">
        <v>4.1753001229461786</v>
      </c>
      <c r="AU94" s="22">
        <v>0.66900000000000004</v>
      </c>
      <c r="AV94" s="22">
        <v>0.23893750850000001</v>
      </c>
      <c r="AW94" s="22">
        <v>43.94</v>
      </c>
      <c r="AX94" s="22">
        <v>49</v>
      </c>
      <c r="AY94" s="22">
        <v>1</v>
      </c>
      <c r="AZ94" s="24">
        <v>14029.1</v>
      </c>
      <c r="BA94" s="24">
        <f t="shared" si="29"/>
        <v>4.1470298109021373</v>
      </c>
      <c r="BB94" s="24">
        <v>2519.1999999999998</v>
      </c>
      <c r="BC94" s="24">
        <f t="shared" si="30"/>
        <v>3.4012626476284873</v>
      </c>
      <c r="BD94" s="24">
        <v>11509.900000000001</v>
      </c>
      <c r="BE94" s="22">
        <v>1299.2</v>
      </c>
      <c r="BF94" s="22">
        <f>STDEVP(BE93:BE94)</f>
        <v>7.0500000000000682</v>
      </c>
      <c r="BG94" s="23">
        <v>1.0971908800871634E-2</v>
      </c>
      <c r="BH94" s="23">
        <v>8.6543521559275513E-2</v>
      </c>
      <c r="BI94" s="23">
        <v>8.5829543101778566E-2</v>
      </c>
      <c r="BJ94" s="23">
        <v>2.940285676664384E-2</v>
      </c>
      <c r="BK94" s="23">
        <v>8.318562952738728E-3</v>
      </c>
      <c r="BL94" s="22">
        <v>1285.0999999999999</v>
      </c>
      <c r="BM94" s="22">
        <v>1780</v>
      </c>
      <c r="BN94" s="22">
        <f>STDEVP(BM93:BM94)</f>
        <v>28.149999999999977</v>
      </c>
      <c r="BO94" s="22">
        <v>3.2504200023088941</v>
      </c>
      <c r="BP94" s="22">
        <v>0.12687912980875465</v>
      </c>
      <c r="BQ94" s="22">
        <v>8.2065346068425915E-4</v>
      </c>
      <c r="BR94" s="22"/>
      <c r="BS94" s="22">
        <v>-588.9</v>
      </c>
      <c r="BT94" s="22">
        <v>2.7700415543196688</v>
      </c>
      <c r="BU94" s="22">
        <v>3.9228355792993649E-2</v>
      </c>
      <c r="BV94" s="23">
        <v>1628.7</v>
      </c>
      <c r="BW94" s="23">
        <v>1941.2</v>
      </c>
      <c r="BX94" s="22">
        <v>52.44</v>
      </c>
      <c r="BY94" s="22">
        <v>1.7196626830180466</v>
      </c>
      <c r="BZ94" s="25">
        <v>-9.4613259668508351E-2</v>
      </c>
      <c r="CA94" s="23">
        <v>0.41905923921147131</v>
      </c>
      <c r="CB94" s="23">
        <v>41.905923921147128</v>
      </c>
      <c r="CC94" s="23">
        <v>1.6222754202076677</v>
      </c>
      <c r="CD94" s="23">
        <v>0.44323322524034581</v>
      </c>
      <c r="CE94" s="23">
        <v>0.35608753263320081</v>
      </c>
      <c r="CF94" s="23">
        <v>1.4925224327018942</v>
      </c>
      <c r="CG94" s="23">
        <f t="shared" si="31"/>
        <v>0.40046759645769275</v>
      </c>
      <c r="CH94" s="26">
        <v>18.309999999999999</v>
      </c>
      <c r="CI94" s="26">
        <v>28.62</v>
      </c>
      <c r="CJ94" s="26">
        <v>1.2626883443016965</v>
      </c>
      <c r="CK94" s="26">
        <v>1.4566696294237576</v>
      </c>
      <c r="CL94" s="26">
        <v>-0.36023759608665273</v>
      </c>
      <c r="CM94" s="27">
        <v>22.615402298850572</v>
      </c>
      <c r="CN94" s="27">
        <v>-0.19701858825065877</v>
      </c>
      <c r="CQ94" s="27">
        <v>115.89653846153851</v>
      </c>
      <c r="CR94" s="27">
        <v>-7.3560292322686169E-2</v>
      </c>
      <c r="CS94" s="27">
        <v>0.92888888888888932</v>
      </c>
      <c r="CT94" s="27">
        <v>0.92386973180076604</v>
      </c>
      <c r="CU94" s="27">
        <v>5.4327541160378483E-3</v>
      </c>
      <c r="CX94" s="28">
        <v>0.66</v>
      </c>
      <c r="CY94" s="28">
        <v>0.76</v>
      </c>
      <c r="CZ94" s="29">
        <v>31.998965519999999</v>
      </c>
      <c r="DA94" s="27">
        <v>-0.14155277889515908</v>
      </c>
      <c r="DB94" s="27">
        <v>2.6347679627304119</v>
      </c>
      <c r="DC94" s="27">
        <v>2.5105365885464708</v>
      </c>
      <c r="DD94" s="27">
        <v>1</v>
      </c>
      <c r="DE94" s="27">
        <v>1.8</v>
      </c>
      <c r="DF94" s="27">
        <v>88.9</v>
      </c>
      <c r="DG94" s="28">
        <v>4.4875121425198587</v>
      </c>
      <c r="DH94" s="27">
        <v>0.90083999999999997</v>
      </c>
      <c r="DI94" s="27">
        <v>2.4</v>
      </c>
      <c r="DJ94" s="27">
        <v>2.2000000000000002</v>
      </c>
      <c r="DK94" s="27">
        <v>2</v>
      </c>
      <c r="DL94" s="27">
        <v>1.6216043547496031E-2</v>
      </c>
      <c r="DM94" s="27">
        <v>0.79400000000000004</v>
      </c>
      <c r="DN94" s="28">
        <v>1.1231</v>
      </c>
      <c r="DO94" s="28">
        <v>-3.2227488151658851E-2</v>
      </c>
      <c r="DP94" s="28">
        <f>(DM94-DM93)/DM93</f>
        <v>-0.16675411900514214</v>
      </c>
      <c r="DQ94" s="27">
        <v>0.17130000000000001</v>
      </c>
      <c r="DR94" s="27">
        <v>3.9305854754660308E-2</v>
      </c>
      <c r="DS94" s="27">
        <v>2.6867542601332471E-2</v>
      </c>
      <c r="DT94" s="27">
        <v>6.0688564775993471E-2</v>
      </c>
      <c r="DU94" s="30">
        <v>5.9865389999999996</v>
      </c>
      <c r="DV94">
        <v>0.9</v>
      </c>
      <c r="DW94">
        <v>2.8</v>
      </c>
      <c r="DX94">
        <v>85.7</v>
      </c>
      <c r="DY94">
        <v>82.9</v>
      </c>
      <c r="DZ94">
        <v>2.4</v>
      </c>
      <c r="EA94">
        <v>2</v>
      </c>
      <c r="EB94">
        <v>1.4781599999999999</v>
      </c>
    </row>
    <row r="95" spans="1:132" ht="18">
      <c r="A95" s="14" t="s">
        <v>154</v>
      </c>
      <c r="B95" s="14">
        <v>3</v>
      </c>
      <c r="C95" s="14" t="s">
        <v>133</v>
      </c>
      <c r="D95" s="14" t="s">
        <v>134</v>
      </c>
      <c r="E95" s="14" t="s">
        <v>145</v>
      </c>
      <c r="F95" s="15">
        <v>2184.9</v>
      </c>
      <c r="G95" s="15">
        <v>3.3394315646739328</v>
      </c>
      <c r="H95" s="15">
        <v>1334.1</v>
      </c>
      <c r="I95" s="15">
        <v>850.8</v>
      </c>
      <c r="J95" s="16">
        <v>0</v>
      </c>
      <c r="K95" s="16">
        <v>1</v>
      </c>
      <c r="L95" s="17">
        <v>0.10718069972332869</v>
      </c>
      <c r="M95" s="18">
        <v>130</v>
      </c>
      <c r="N95" s="18">
        <v>64</v>
      </c>
      <c r="O95" s="18">
        <v>0.86177514792899435</v>
      </c>
      <c r="P95" s="18">
        <v>3</v>
      </c>
      <c r="Q95" s="18">
        <f t="shared" si="43"/>
        <v>2.3333333333333335</v>
      </c>
      <c r="R95" s="18">
        <v>130</v>
      </c>
      <c r="S95" s="18">
        <v>5</v>
      </c>
      <c r="T95" s="19">
        <v>6383</v>
      </c>
      <c r="U95" s="19">
        <v>3.8050248444298052</v>
      </c>
      <c r="V95" s="20">
        <v>27844</v>
      </c>
      <c r="W95" s="20">
        <v>4.4447316250887505</v>
      </c>
      <c r="X95" s="20">
        <v>0.53462875136806132</v>
      </c>
      <c r="Y95" s="20">
        <v>0.39946750910000001</v>
      </c>
      <c r="Z95" s="20">
        <f t="shared" si="27"/>
        <v>-0.39851853848369145</v>
      </c>
      <c r="AA95" s="20">
        <v>6.5889628919999998E-2</v>
      </c>
      <c r="AB95" s="20">
        <v>324.5</v>
      </c>
      <c r="AC95" s="20"/>
      <c r="AD95" s="21">
        <v>863.7</v>
      </c>
      <c r="AE95" s="21">
        <f t="shared" si="35"/>
        <v>4.2368973569059908E-2</v>
      </c>
      <c r="AF95" s="21">
        <f t="shared" si="36"/>
        <v>2.9363629195977445</v>
      </c>
      <c r="AG95" s="22">
        <v>2.2859721758923139E-2</v>
      </c>
      <c r="AH95" s="22">
        <v>466</v>
      </c>
      <c r="AI95" s="22">
        <v>3.1931266599999999</v>
      </c>
      <c r="AJ95" s="22">
        <v>52081</v>
      </c>
      <c r="AK95" s="23">
        <f t="shared" si="37"/>
        <v>4.7166793144678252</v>
      </c>
      <c r="AL95" s="24">
        <v>0.43918012400000001</v>
      </c>
      <c r="AM95" s="22">
        <f>3218.8+5341</f>
        <v>8559.7999999999993</v>
      </c>
      <c r="AN95" s="22">
        <f t="shared" si="42"/>
        <v>0.41990267448933533</v>
      </c>
      <c r="AO95" s="23">
        <v>0.24967833822993141</v>
      </c>
      <c r="AP95" s="33">
        <v>6.11234E-3</v>
      </c>
      <c r="AQ95" s="23">
        <v>-0.21379249605262821</v>
      </c>
      <c r="AR95" s="22">
        <v>20385.2</v>
      </c>
      <c r="AS95" s="23">
        <v>4.3093149766893424</v>
      </c>
      <c r="AT95" s="23">
        <v>4.1764414487135699</v>
      </c>
      <c r="AU95" s="22">
        <v>0.36</v>
      </c>
      <c r="AV95" s="22">
        <v>0.1813215621</v>
      </c>
      <c r="AW95" s="22">
        <v>37.76</v>
      </c>
      <c r="AX95" s="22">
        <v>43.94</v>
      </c>
      <c r="AY95" s="22">
        <v>1</v>
      </c>
      <c r="AZ95" s="24">
        <v>14533.9</v>
      </c>
      <c r="BA95" s="24">
        <f t="shared" si="29"/>
        <v>4.1623821677192474</v>
      </c>
      <c r="BB95" s="24">
        <v>2577.3000000000002</v>
      </c>
      <c r="BC95" s="24">
        <f t="shared" si="30"/>
        <v>3.4111649737551879</v>
      </c>
      <c r="BD95" s="24">
        <v>11956.599999999999</v>
      </c>
      <c r="BE95" s="22">
        <v>3628.8</v>
      </c>
      <c r="BF95" s="22">
        <f>STDEVP(BE94:BE95)</f>
        <v>1164.8000000000004</v>
      </c>
      <c r="BG95" s="23">
        <v>1.7931034482758623</v>
      </c>
      <c r="BH95" s="23">
        <v>0.17801149853815512</v>
      </c>
      <c r="BI95" s="23">
        <v>8.6543521559275513E-2</v>
      </c>
      <c r="BJ95" s="23">
        <v>2.940285676664384E-2</v>
      </c>
      <c r="BK95" s="23">
        <v>1.056901491074999</v>
      </c>
      <c r="BL95" s="22">
        <v>1299.2</v>
      </c>
      <c r="BM95" s="22">
        <v>1846.4</v>
      </c>
      <c r="BN95" s="22">
        <f t="shared" ref="BN95:BN104" si="44">STDEVP(BM94:BM95)</f>
        <v>33.200000000000045</v>
      </c>
      <c r="BO95" s="22">
        <v>3.2663257914756376</v>
      </c>
      <c r="BP95" s="22">
        <v>0.12704091812933901</v>
      </c>
      <c r="BQ95" s="22">
        <v>8.0894160292180328E-5</v>
      </c>
      <c r="BR95" s="22">
        <v>8.2065346068425915E-4</v>
      </c>
      <c r="BS95" s="22">
        <v>-1121.9000000000001</v>
      </c>
      <c r="BT95" s="22">
        <v>3.0499541480220462</v>
      </c>
      <c r="BU95" s="22">
        <v>5.5035025410591999E-2</v>
      </c>
      <c r="BV95" s="23">
        <v>1980.8</v>
      </c>
      <c r="BW95" s="22">
        <v>2144.1999999999998</v>
      </c>
      <c r="BX95" s="22">
        <v>51.35</v>
      </c>
      <c r="BY95" s="22">
        <v>1.7105404479332971</v>
      </c>
      <c r="BZ95" s="25">
        <v>-2.0785659801678038E-2</v>
      </c>
      <c r="CA95" s="23">
        <v>0.35608753263320081</v>
      </c>
      <c r="CB95" s="23">
        <v>35.608753263320082</v>
      </c>
      <c r="CC95" s="23">
        <v>1.5515567683853173</v>
      </c>
      <c r="CD95" s="23">
        <v>0.41905923921147131</v>
      </c>
      <c r="CE95" s="23">
        <v>0.50480653402050257</v>
      </c>
      <c r="CF95" s="23">
        <v>1.3572815533980584</v>
      </c>
      <c r="CG95" s="23">
        <f t="shared" si="31"/>
        <v>0.30548384157007424</v>
      </c>
      <c r="CH95" s="26">
        <v>13.29</v>
      </c>
      <c r="CI95" s="26">
        <v>18.309999999999999</v>
      </c>
      <c r="CJ95" s="26">
        <v>1.1235249809427319</v>
      </c>
      <c r="CK95" s="26">
        <v>1.2626883443016965</v>
      </c>
      <c r="CL95" s="26">
        <v>-0.27416712179137082</v>
      </c>
      <c r="CM95" s="27">
        <v>16.030268199233717</v>
      </c>
      <c r="CN95" s="27">
        <v>-0.29117917128326054</v>
      </c>
      <c r="CQ95" s="27">
        <v>102.09153846153851</v>
      </c>
      <c r="CR95" s="27">
        <v>-0.11911486040268011</v>
      </c>
      <c r="CS95" s="27">
        <v>0.9859003831417622</v>
      </c>
      <c r="CT95" s="27">
        <v>0.92888888888888899</v>
      </c>
      <c r="CU95" s="27">
        <v>6.1376010559312889E-2</v>
      </c>
      <c r="CV95" s="27">
        <v>1.140877862595419</v>
      </c>
      <c r="CW95" s="27">
        <v>2.0572391532349976</v>
      </c>
      <c r="CX95" s="28">
        <v>1.07</v>
      </c>
      <c r="CY95" s="28">
        <v>0.66</v>
      </c>
      <c r="CZ95" s="29">
        <v>18.886297710000001</v>
      </c>
      <c r="DA95" s="27">
        <v>-0.40978411635852152</v>
      </c>
      <c r="DB95" s="27">
        <v>266.87708664986224</v>
      </c>
      <c r="DC95" s="27">
        <v>2.6347679627304119</v>
      </c>
      <c r="DD95" s="27">
        <v>1</v>
      </c>
      <c r="DE95" s="27">
        <v>2</v>
      </c>
      <c r="DF95" s="27">
        <v>90.4</v>
      </c>
      <c r="DG95" s="28">
        <v>4.5042442673981311</v>
      </c>
      <c r="DH95" s="27">
        <v>0.91725999999999996</v>
      </c>
      <c r="DI95" s="27">
        <v>2.2999999999999998</v>
      </c>
      <c r="DJ95" s="27">
        <v>2.4</v>
      </c>
      <c r="DK95" s="27">
        <v>2.1</v>
      </c>
      <c r="DL95" s="27">
        <v>1.3035848693861207E-2</v>
      </c>
      <c r="DM95" s="27">
        <v>0.73780000000000001</v>
      </c>
      <c r="DN95" s="28">
        <v>0.95269999999999999</v>
      </c>
      <c r="DO95" s="28">
        <v>-0.15172290980322323</v>
      </c>
      <c r="DP95" s="28">
        <f t="shared" ref="DP95:DP105" si="45">(DM95-DM94)/DM94</f>
        <v>-7.0780856423173832E-2</v>
      </c>
      <c r="DQ95" s="27">
        <v>0.11370000000000002</v>
      </c>
      <c r="DR95" s="27">
        <v>2.6867542601332471E-2</v>
      </c>
      <c r="DS95" s="27">
        <v>3.2347817198611614E-2</v>
      </c>
      <c r="DT95" s="27">
        <v>3.9305854754660308E-2</v>
      </c>
      <c r="DU95" s="30">
        <v>5.5230399999999999</v>
      </c>
      <c r="DV95">
        <v>0.3</v>
      </c>
      <c r="DW95">
        <v>2.6</v>
      </c>
      <c r="DX95">
        <v>88</v>
      </c>
      <c r="DY95">
        <v>85.1</v>
      </c>
      <c r="DZ95">
        <v>2</v>
      </c>
      <c r="EA95">
        <v>1.5</v>
      </c>
      <c r="EB95">
        <v>1.913224</v>
      </c>
    </row>
    <row r="96" spans="1:132" ht="18">
      <c r="A96" s="14" t="s">
        <v>154</v>
      </c>
      <c r="B96" s="14">
        <v>4</v>
      </c>
      <c r="C96" s="14" t="s">
        <v>133</v>
      </c>
      <c r="D96" s="14" t="s">
        <v>134</v>
      </c>
      <c r="E96" s="14" t="s">
        <v>145</v>
      </c>
      <c r="F96" s="15">
        <v>2145.4</v>
      </c>
      <c r="G96" s="15">
        <v>3.3315082762863892</v>
      </c>
      <c r="H96" s="15">
        <v>1888.5</v>
      </c>
      <c r="I96" s="15">
        <v>256.89999999999998</v>
      </c>
      <c r="J96" s="16">
        <v>0</v>
      </c>
      <c r="K96" s="16">
        <v>1</v>
      </c>
      <c r="L96" s="17">
        <v>8.981792758131299E-2</v>
      </c>
      <c r="M96" s="18">
        <v>130</v>
      </c>
      <c r="N96" s="18">
        <v>64</v>
      </c>
      <c r="O96" s="18">
        <v>0.86177514792899435</v>
      </c>
      <c r="P96" s="18">
        <v>3</v>
      </c>
      <c r="Q96" s="18">
        <f t="shared" si="43"/>
        <v>2.3333333333333335</v>
      </c>
      <c r="R96" s="18">
        <v>130</v>
      </c>
      <c r="S96" s="18">
        <v>5</v>
      </c>
      <c r="T96" s="19">
        <v>6791</v>
      </c>
      <c r="U96" s="19">
        <v>3.8319337304667456</v>
      </c>
      <c r="V96" s="20">
        <v>30000</v>
      </c>
      <c r="W96" s="20">
        <v>5.2977605110991339</v>
      </c>
      <c r="X96" s="20">
        <v>3.7170196430912119</v>
      </c>
      <c r="Y96" s="20">
        <v>0.48169616700000001</v>
      </c>
      <c r="Z96" s="20">
        <f t="shared" si="27"/>
        <v>-0.31722680948247728</v>
      </c>
      <c r="AA96" s="20">
        <v>7.2639999999999996E-2</v>
      </c>
      <c r="AB96" s="20">
        <v>347.5</v>
      </c>
      <c r="AC96" s="20"/>
      <c r="AD96" s="21">
        <v>1108</v>
      </c>
      <c r="AE96" s="21">
        <f t="shared" si="35"/>
        <v>4.6386810739300267E-2</v>
      </c>
      <c r="AF96" s="21">
        <f t="shared" si="36"/>
        <v>3.0445397603924111</v>
      </c>
      <c r="AG96" s="22">
        <v>2.0765214915787845E-2</v>
      </c>
      <c r="AH96" s="22">
        <v>496</v>
      </c>
      <c r="AI96" s="22">
        <v>2.82254213</v>
      </c>
      <c r="AJ96" s="22">
        <v>53403</v>
      </c>
      <c r="AK96" s="23">
        <f t="shared" si="37"/>
        <v>4.7275656549096281</v>
      </c>
      <c r="AL96" s="24">
        <v>0.46729743699999998</v>
      </c>
      <c r="AM96" s="22">
        <f>2460.5+6768.4</f>
        <v>9228.9</v>
      </c>
      <c r="AN96" s="22">
        <f t="shared" si="42"/>
        <v>0.3863711530974081</v>
      </c>
      <c r="AO96" s="23">
        <v>0.1357784276621366</v>
      </c>
      <c r="AP96" s="33">
        <v>1.818225E-2</v>
      </c>
      <c r="AQ96" s="23">
        <v>0.25964762487721865</v>
      </c>
      <c r="AR96" s="22">
        <v>23886.1</v>
      </c>
      <c r="AS96" s="23">
        <v>4.3781452461607113</v>
      </c>
      <c r="AT96" s="23">
        <v>4.3093149766893424</v>
      </c>
      <c r="AU96" s="22">
        <v>0.35199999999999998</v>
      </c>
      <c r="AV96" s="22">
        <v>0.19651361119999999</v>
      </c>
      <c r="AW96" s="22">
        <v>41.37</v>
      </c>
      <c r="AX96" s="22">
        <v>37.76</v>
      </c>
      <c r="AY96" s="22">
        <v>1</v>
      </c>
      <c r="AZ96" s="24">
        <v>14532.5</v>
      </c>
      <c r="BA96" s="24">
        <f t="shared" si="29"/>
        <v>4.1623403316284255</v>
      </c>
      <c r="BB96" s="24">
        <v>4347.3</v>
      </c>
      <c r="BC96" s="24">
        <f t="shared" si="30"/>
        <v>3.6382196111705878</v>
      </c>
      <c r="BD96" s="24">
        <v>10185.200000000001</v>
      </c>
      <c r="BE96" s="22">
        <v>1973.2</v>
      </c>
      <c r="BF96" s="22">
        <f t="shared" ref="BF96:BF105" si="46">STDEVP(BE95:BE96)</f>
        <v>827.8</v>
      </c>
      <c r="BG96" s="23">
        <v>-0.45623897707231043</v>
      </c>
      <c r="BH96" s="23">
        <v>8.2608713854501165E-2</v>
      </c>
      <c r="BI96" s="23">
        <v>0.17801149853815512</v>
      </c>
      <c r="BJ96" s="23">
        <v>2.940285676664384E-2</v>
      </c>
      <c r="BK96" s="23">
        <v>-0.5359360797875945</v>
      </c>
      <c r="BL96" s="22">
        <v>3628.8</v>
      </c>
      <c r="BM96" s="22">
        <v>2093.9</v>
      </c>
      <c r="BN96" s="22">
        <f t="shared" si="44"/>
        <v>123.75</v>
      </c>
      <c r="BO96" s="22">
        <v>3.32095593690098</v>
      </c>
      <c r="BP96" s="22">
        <v>0.14408394976776193</v>
      </c>
      <c r="BQ96" s="22">
        <v>8.521515819211456E-3</v>
      </c>
      <c r="BR96" s="22">
        <v>8.0894160292180328E-5</v>
      </c>
      <c r="BS96" s="22">
        <v>-869.8</v>
      </c>
      <c r="BT96" s="22">
        <v>2.9394194033293171</v>
      </c>
      <c r="BU96" s="22">
        <v>3.6414483737403761E-2</v>
      </c>
      <c r="BV96" s="23">
        <v>2029.6</v>
      </c>
      <c r="BW96" s="22">
        <v>2880.3</v>
      </c>
      <c r="BX96" s="22">
        <v>62.8</v>
      </c>
      <c r="BY96" s="22">
        <v>1.7979596437371961</v>
      </c>
      <c r="BZ96" s="25">
        <v>0.22297955209347606</v>
      </c>
      <c r="CA96" s="23">
        <v>0.50480653402050257</v>
      </c>
      <c r="CB96" s="23">
        <v>50.480653402050258</v>
      </c>
      <c r="CC96" s="23">
        <v>1.7031249676122344</v>
      </c>
      <c r="CD96" s="23">
        <v>0.35608753263320081</v>
      </c>
      <c r="CE96" s="23">
        <v>0.23932748485115019</v>
      </c>
      <c r="CF96" s="23">
        <v>1.2376146788990827</v>
      </c>
      <c r="CG96" s="23">
        <f t="shared" si="31"/>
        <v>0.21318588098456662</v>
      </c>
      <c r="CH96" s="26">
        <v>12.07</v>
      </c>
      <c r="CI96" s="26">
        <v>13.29</v>
      </c>
      <c r="CJ96" s="26">
        <v>1.0817072700973491</v>
      </c>
      <c r="CK96" s="26">
        <v>1.1235249809427319</v>
      </c>
      <c r="CL96" s="26">
        <v>-9.1798344620014974E-2</v>
      </c>
      <c r="CM96" s="27">
        <v>13.248115384615385</v>
      </c>
      <c r="CN96" s="27">
        <v>-0.17355622376619531</v>
      </c>
      <c r="CQ96" s="27">
        <v>81.715444015443992</v>
      </c>
      <c r="CR96" s="27">
        <v>-0.1995865157206041</v>
      </c>
      <c r="CS96" s="27">
        <v>0.91873076923076902</v>
      </c>
      <c r="CT96" s="27">
        <v>0.9859003831417622</v>
      </c>
      <c r="CU96" s="27">
        <v>-6.8130223965370842E-2</v>
      </c>
      <c r="CV96" s="27">
        <v>1.0315769230769232</v>
      </c>
      <c r="CW96" s="27">
        <v>2.0135016181765906</v>
      </c>
      <c r="CX96" s="28">
        <v>0.94</v>
      </c>
      <c r="CY96" s="28">
        <v>1.07</v>
      </c>
      <c r="CZ96" s="29">
        <v>14.03142308</v>
      </c>
      <c r="DA96" s="27">
        <v>-0.25705803776615366</v>
      </c>
      <c r="DB96" s="27">
        <v>1.72976924253802</v>
      </c>
      <c r="DC96" s="27">
        <v>266.87708664986224</v>
      </c>
      <c r="DD96" s="27">
        <v>1</v>
      </c>
      <c r="DE96" s="27">
        <v>1.2</v>
      </c>
      <c r="DF96" s="27">
        <v>92.1</v>
      </c>
      <c r="DG96" s="28">
        <v>4.5228749432612609</v>
      </c>
      <c r="DH96" s="27">
        <v>0.93069000000000002</v>
      </c>
      <c r="DI96" s="27">
        <v>2.2000000000000002</v>
      </c>
      <c r="DJ96" s="27">
        <v>1.4</v>
      </c>
      <c r="DK96" s="27">
        <v>1.5</v>
      </c>
      <c r="DL96" s="27">
        <v>8.4498661866614921E-3</v>
      </c>
      <c r="DM96" s="27">
        <v>0.84399999999999997</v>
      </c>
      <c r="DN96" s="28">
        <v>0.79300000000000004</v>
      </c>
      <c r="DO96" s="28">
        <v>-0.167628844337147</v>
      </c>
      <c r="DP96" s="28">
        <f t="shared" si="45"/>
        <v>0.14394144754676058</v>
      </c>
      <c r="DQ96" s="27">
        <v>0.11509999999999998</v>
      </c>
      <c r="DR96" s="27">
        <v>3.2347817198611614E-2</v>
      </c>
      <c r="DS96" s="27">
        <v>2.4490842135800685E-2</v>
      </c>
      <c r="DT96" s="27">
        <v>2.6867542601332471E-2</v>
      </c>
      <c r="DU96" s="30">
        <v>5.0767810000000004</v>
      </c>
      <c r="DV96">
        <v>-0.3</v>
      </c>
      <c r="DW96">
        <v>0.7</v>
      </c>
      <c r="DX96">
        <v>90.9</v>
      </c>
      <c r="DY96">
        <v>87.4</v>
      </c>
      <c r="DZ96">
        <v>1.6</v>
      </c>
      <c r="EA96">
        <v>1</v>
      </c>
      <c r="EB96">
        <v>2.1595819999999999</v>
      </c>
    </row>
    <row r="97" spans="1:132" ht="18">
      <c r="A97" s="14" t="s">
        <v>154</v>
      </c>
      <c r="B97" s="14">
        <v>5</v>
      </c>
      <c r="C97" s="14" t="s">
        <v>133</v>
      </c>
      <c r="D97" s="14" t="s">
        <v>134</v>
      </c>
      <c r="E97" s="14" t="s">
        <v>145</v>
      </c>
      <c r="F97" s="15">
        <v>2182.3000000000002</v>
      </c>
      <c r="G97" s="15">
        <v>3.338914452663329</v>
      </c>
      <c r="H97" s="15">
        <v>1591.1</v>
      </c>
      <c r="I97" s="15">
        <v>591.20000000000005</v>
      </c>
      <c r="J97" s="16">
        <v>0</v>
      </c>
      <c r="K97" s="16">
        <v>1</v>
      </c>
      <c r="L97" s="17">
        <v>0.11678796960291128</v>
      </c>
      <c r="M97" s="18">
        <v>130</v>
      </c>
      <c r="N97" s="18">
        <v>64</v>
      </c>
      <c r="O97" s="18">
        <v>0.86177514792899435</v>
      </c>
      <c r="P97" s="18">
        <v>3</v>
      </c>
      <c r="Q97" s="18">
        <f t="shared" si="43"/>
        <v>2.3333333333333335</v>
      </c>
      <c r="R97" s="18">
        <v>130</v>
      </c>
      <c r="S97" s="18">
        <v>5</v>
      </c>
      <c r="T97" s="19">
        <v>7169</v>
      </c>
      <c r="U97" s="19">
        <v>3.8554585803860362</v>
      </c>
      <c r="V97" s="20">
        <v>33614</v>
      </c>
      <c r="W97" s="20">
        <v>4.526520195735265</v>
      </c>
      <c r="X97" s="20">
        <v>0.55239848153686877</v>
      </c>
      <c r="Y97" s="20">
        <v>0.41722513169999997</v>
      </c>
      <c r="Z97" s="20">
        <f t="shared" si="27"/>
        <v>-0.37962953957939183</v>
      </c>
      <c r="AA97" s="20">
        <v>9.2023121390000004E-2</v>
      </c>
      <c r="AB97" s="20">
        <v>397.3</v>
      </c>
      <c r="AC97" s="20"/>
      <c r="AD97" s="21">
        <v>993.5</v>
      </c>
      <c r="AE97" s="21">
        <f t="shared" si="35"/>
        <v>5.3168147276035534E-2</v>
      </c>
      <c r="AF97" s="21">
        <f t="shared" si="36"/>
        <v>2.9971678714458339</v>
      </c>
      <c r="AG97" s="22">
        <v>2.8524028684576687E-2</v>
      </c>
      <c r="AH97" s="22">
        <v>533</v>
      </c>
      <c r="AI97" s="22">
        <v>3.3198851199999999</v>
      </c>
      <c r="AJ97" s="22">
        <v>60851</v>
      </c>
      <c r="AK97" s="23">
        <f t="shared" si="37"/>
        <v>4.7842677196394341</v>
      </c>
      <c r="AL97" s="24">
        <v>0.45401865699999999</v>
      </c>
      <c r="AM97" s="22">
        <f>3396.9+6761.9</f>
        <v>10158.799999999999</v>
      </c>
      <c r="AN97" s="22">
        <f t="shared" si="42"/>
        <v>0.54365835384780048</v>
      </c>
      <c r="AO97" s="23">
        <v>0.13059448641870539</v>
      </c>
      <c r="AP97" s="33">
        <v>1.9736066E-2</v>
      </c>
      <c r="AQ97" s="23">
        <v>0.29526058882196532</v>
      </c>
      <c r="AR97" s="22">
        <v>18686</v>
      </c>
      <c r="AS97" s="23">
        <v>4.2715163445116318</v>
      </c>
      <c r="AT97" s="23">
        <v>4.3781452461607113</v>
      </c>
      <c r="AU97" s="22">
        <v>0.45100000000000001</v>
      </c>
      <c r="AV97" s="22">
        <v>0.2810722101</v>
      </c>
      <c r="AW97" s="22">
        <v>48.55</v>
      </c>
      <c r="AX97" s="22">
        <v>41.37</v>
      </c>
      <c r="AY97" s="22">
        <v>1</v>
      </c>
      <c r="AZ97" s="24">
        <v>15790.1</v>
      </c>
      <c r="BA97" s="24">
        <f t="shared" si="29"/>
        <v>4.1983848804396224</v>
      </c>
      <c r="BB97" s="24">
        <v>4569.1000000000004</v>
      </c>
      <c r="BC97" s="24">
        <f t="shared" si="30"/>
        <v>3.659830663193139</v>
      </c>
      <c r="BD97" s="24">
        <v>11221</v>
      </c>
      <c r="BE97" s="22">
        <v>2062.1</v>
      </c>
      <c r="BF97" s="22">
        <f t="shared" si="46"/>
        <v>44.449999999999932</v>
      </c>
      <c r="BG97" s="23">
        <v>4.5053719845935467E-2</v>
      </c>
      <c r="BH97" s="23">
        <v>0.1103553462485283</v>
      </c>
      <c r="BI97" s="23">
        <v>8.2608713854501165E-2</v>
      </c>
      <c r="BJ97" s="23">
        <v>2.940285676664384E-2</v>
      </c>
      <c r="BK97" s="23">
        <v>0.33588021286588865</v>
      </c>
      <c r="BL97" s="22">
        <v>1973.2</v>
      </c>
      <c r="BM97" s="22">
        <v>2475.9</v>
      </c>
      <c r="BN97" s="22">
        <f t="shared" si="44"/>
        <v>191</v>
      </c>
      <c r="BO97" s="22">
        <v>3.3937330998290083</v>
      </c>
      <c r="BP97" s="22">
        <v>0.15680078023571731</v>
      </c>
      <c r="BQ97" s="22">
        <v>6.3584152339776906E-3</v>
      </c>
      <c r="BR97" s="22">
        <v>8.521515819211456E-3</v>
      </c>
      <c r="BS97" s="22">
        <v>-1785.9</v>
      </c>
      <c r="BT97" s="22">
        <v>3.2518571372714158</v>
      </c>
      <c r="BU97" s="22">
        <v>9.5574226693781447E-2</v>
      </c>
      <c r="BV97" s="23">
        <v>2338.3000000000002</v>
      </c>
      <c r="BW97" s="22">
        <v>4110.3999999999996</v>
      </c>
      <c r="BX97" s="22">
        <v>75.900000000000006</v>
      </c>
      <c r="BY97" s="22">
        <v>1.8802417758954804</v>
      </c>
      <c r="BZ97" s="25">
        <v>0.20859872611464983</v>
      </c>
      <c r="CA97" s="23">
        <v>0.23932748485115019</v>
      </c>
      <c r="CB97" s="23">
        <v>23.93274848511502</v>
      </c>
      <c r="CC97" s="23">
        <v>1.3789925767319382</v>
      </c>
      <c r="CD97" s="23">
        <v>0.50480653402050257</v>
      </c>
      <c r="CE97" s="23">
        <v>0.24189879517124074</v>
      </c>
      <c r="CF97" s="23">
        <v>1.3491171749598716</v>
      </c>
      <c r="CG97" s="23">
        <f t="shared" si="31"/>
        <v>0.29945043406121719</v>
      </c>
      <c r="CH97" s="26">
        <v>11.56</v>
      </c>
      <c r="CI97" s="26">
        <v>12.07</v>
      </c>
      <c r="CJ97" s="26">
        <v>1.0629578340845103</v>
      </c>
      <c r="CK97" s="26">
        <v>1.0817072700973491</v>
      </c>
      <c r="CL97" s="26">
        <v>-4.2253521126760542E-2</v>
      </c>
      <c r="CM97" s="27">
        <v>13.296884615384608</v>
      </c>
      <c r="CN97" s="27">
        <v>3.681220260646025E-3</v>
      </c>
      <c r="CQ97" s="27">
        <v>67.989575289575299</v>
      </c>
      <c r="CR97" s="27">
        <v>-0.167971536975</v>
      </c>
      <c r="CS97" s="27">
        <v>0.84238461538461584</v>
      </c>
      <c r="CT97" s="27">
        <v>0.91873076923076902</v>
      </c>
      <c r="CU97" s="27">
        <v>-8.3099593921379125E-2</v>
      </c>
      <c r="CV97" s="27">
        <v>0.92230769230769172</v>
      </c>
      <c r="CW97" s="27">
        <v>1.9648758307920116</v>
      </c>
      <c r="CX97" s="28">
        <v>0.56000000000000005</v>
      </c>
      <c r="CY97" s="28">
        <v>0.94</v>
      </c>
      <c r="CZ97" s="29">
        <v>16.52657692</v>
      </c>
      <c r="DA97" s="27">
        <v>0.17782614249273998</v>
      </c>
      <c r="DB97" s="27">
        <v>1.322681365714484</v>
      </c>
      <c r="DC97" s="27">
        <v>1.72976924253802</v>
      </c>
      <c r="DD97" s="27">
        <v>1</v>
      </c>
      <c r="DE97" s="27">
        <v>0.7</v>
      </c>
      <c r="DF97" s="27">
        <v>94.1</v>
      </c>
      <c r="DG97" s="28">
        <v>4.5443580465913342</v>
      </c>
      <c r="DH97" s="27">
        <v>0.94418000000000002</v>
      </c>
      <c r="DI97" s="27">
        <v>1.9</v>
      </c>
      <c r="DJ97" s="27">
        <v>1.6</v>
      </c>
      <c r="DK97" s="27">
        <v>1.8</v>
      </c>
      <c r="DL97" s="27">
        <v>7.6672365931182819E-3</v>
      </c>
      <c r="DM97" s="27">
        <v>0.75770000000000004</v>
      </c>
      <c r="DN97" s="28">
        <v>0.74250000000000005</v>
      </c>
      <c r="DO97" s="28">
        <v>-6.3682219419924316E-2</v>
      </c>
      <c r="DP97" s="28">
        <f t="shared" si="45"/>
        <v>-0.10225118483412314</v>
      </c>
      <c r="DQ97" s="27">
        <v>9.7799999999999998E-2</v>
      </c>
      <c r="DR97" s="27">
        <v>2.4490842135800685E-2</v>
      </c>
      <c r="DS97" s="27">
        <v>2.77430650961079E-2</v>
      </c>
      <c r="DT97" s="27">
        <v>3.2347817198611614E-2</v>
      </c>
      <c r="DU97" s="30">
        <v>4.6174650000000002</v>
      </c>
      <c r="DV97">
        <v>-0.5</v>
      </c>
      <c r="DW97">
        <v>-0.4</v>
      </c>
      <c r="DX97">
        <v>93.7</v>
      </c>
      <c r="DY97">
        <v>89.8</v>
      </c>
      <c r="DZ97">
        <v>1.6</v>
      </c>
      <c r="EA97">
        <v>1.7</v>
      </c>
      <c r="EB97">
        <v>2.2385109999999999</v>
      </c>
    </row>
    <row r="98" spans="1:132" ht="18">
      <c r="A98" s="14" t="s">
        <v>154</v>
      </c>
      <c r="B98" s="14">
        <v>6</v>
      </c>
      <c r="C98" s="14" t="s">
        <v>133</v>
      </c>
      <c r="D98" s="14" t="s">
        <v>134</v>
      </c>
      <c r="E98" s="14" t="s">
        <v>145</v>
      </c>
      <c r="F98" s="15">
        <v>2960.4</v>
      </c>
      <c r="G98" s="15">
        <v>3.4713503955373608</v>
      </c>
      <c r="H98" s="15">
        <v>2040.2</v>
      </c>
      <c r="I98" s="15">
        <v>920.2</v>
      </c>
      <c r="J98" s="16">
        <v>0</v>
      </c>
      <c r="K98" s="16">
        <v>1</v>
      </c>
      <c r="L98" s="17">
        <v>0.15454649863745992</v>
      </c>
      <c r="M98" s="18">
        <v>130</v>
      </c>
      <c r="N98" s="18">
        <v>64</v>
      </c>
      <c r="O98" s="18">
        <v>0.86177514792899435</v>
      </c>
      <c r="P98" s="18">
        <v>3</v>
      </c>
      <c r="Q98" s="18">
        <f t="shared" si="43"/>
        <v>2.3333333333333335</v>
      </c>
      <c r="R98" s="18">
        <v>130</v>
      </c>
      <c r="S98" s="18">
        <v>5</v>
      </c>
      <c r="T98" s="19">
        <v>7516</v>
      </c>
      <c r="U98" s="19">
        <v>3.8759867714284879</v>
      </c>
      <c r="V98" s="20">
        <v>35346</v>
      </c>
      <c r="W98" s="20">
        <v>4.5483402731196367</v>
      </c>
      <c r="X98" s="20">
        <v>0.5808614484560648</v>
      </c>
      <c r="Y98" s="20">
        <v>0.44649485309999998</v>
      </c>
      <c r="Z98" s="20">
        <f t="shared" si="27"/>
        <v>-0.35018354300869847</v>
      </c>
      <c r="AA98" s="20">
        <v>0.1316021127</v>
      </c>
      <c r="AB98" s="20">
        <v>396.5</v>
      </c>
      <c r="AC98" s="20"/>
      <c r="AD98" s="21">
        <v>889</v>
      </c>
      <c r="AE98" s="21">
        <f t="shared" si="35"/>
        <v>4.6409889639475024E-2</v>
      </c>
      <c r="AF98" s="21">
        <f t="shared" si="36"/>
        <v>2.9489017609702137</v>
      </c>
      <c r="AG98" s="22">
        <v>2.9808826753813543E-2</v>
      </c>
      <c r="AH98" s="22">
        <v>571</v>
      </c>
      <c r="AI98" s="22">
        <v>4.4975116990000004</v>
      </c>
      <c r="AJ98" s="22">
        <v>60851</v>
      </c>
      <c r="AK98" s="23">
        <f t="shared" si="37"/>
        <v>4.7842677196394341</v>
      </c>
      <c r="AL98" s="24">
        <v>0.44049558700000002</v>
      </c>
      <c r="AM98" s="22">
        <f>3978.5+5600.1</f>
        <v>9578.6</v>
      </c>
      <c r="AN98" s="22">
        <f t="shared" si="42"/>
        <v>0.5000469841402424</v>
      </c>
      <c r="AO98" s="23">
        <v>0.15575000293038577</v>
      </c>
      <c r="AP98" s="33">
        <v>2.5736539999999999E-2</v>
      </c>
      <c r="AQ98" s="23">
        <v>0.41055016028744346</v>
      </c>
      <c r="AR98" s="22">
        <v>19155.400000000001</v>
      </c>
      <c r="AS98" s="23">
        <v>4.2822912252817158</v>
      </c>
      <c r="AT98" s="23">
        <v>4.2715163445116318</v>
      </c>
      <c r="AU98" s="22">
        <v>0.44500000000000001</v>
      </c>
      <c r="AV98" s="22">
        <v>0.25698581300000001</v>
      </c>
      <c r="AW98" s="22">
        <v>60.55</v>
      </c>
      <c r="AX98" s="22">
        <v>48.55</v>
      </c>
      <c r="AY98" s="22">
        <v>2</v>
      </c>
      <c r="AZ98" s="24">
        <v>17062.599999999999</v>
      </c>
      <c r="BA98" s="24">
        <f t="shared" si="29"/>
        <v>4.232045209693017</v>
      </c>
      <c r="BB98" s="24">
        <v>4941</v>
      </c>
      <c r="BC98" s="24">
        <f t="shared" si="30"/>
        <v>3.6938148538894167</v>
      </c>
      <c r="BD98" s="24">
        <v>12121.599999999999</v>
      </c>
      <c r="BE98" s="22">
        <v>2657.5</v>
      </c>
      <c r="BF98" s="22">
        <f t="shared" si="46"/>
        <v>297.69999999999851</v>
      </c>
      <c r="BG98" s="23">
        <v>0.2887347849279861</v>
      </c>
      <c r="BH98" s="23">
        <v>0.13873372521586602</v>
      </c>
      <c r="BI98" s="23">
        <v>0.1103553462485283</v>
      </c>
      <c r="BJ98" s="23">
        <v>2.940285676664384E-2</v>
      </c>
      <c r="BK98" s="23">
        <v>0.25715454603737581</v>
      </c>
      <c r="BL98" s="22">
        <v>2062.1</v>
      </c>
      <c r="BM98" s="22">
        <v>2644</v>
      </c>
      <c r="BN98" s="22">
        <f t="shared" si="44"/>
        <v>84.049999999999955</v>
      </c>
      <c r="BO98" s="22">
        <v>3.4222614508136027</v>
      </c>
      <c r="BP98" s="22">
        <v>0.15495879877627092</v>
      </c>
      <c r="BQ98" s="22">
        <v>9.2099072972319507E-4</v>
      </c>
      <c r="BR98" s="22">
        <v>6.3584152339776906E-3</v>
      </c>
      <c r="BS98" s="22">
        <v>104.8</v>
      </c>
      <c r="BT98" s="22"/>
      <c r="BU98" s="22">
        <v>-5.471042108230577E-3</v>
      </c>
      <c r="BV98" s="23">
        <v>2313.9</v>
      </c>
      <c r="BW98" s="22">
        <v>3459.8</v>
      </c>
      <c r="BX98" s="22">
        <v>97.98</v>
      </c>
      <c r="BY98" s="22">
        <v>1.9911374351203117</v>
      </c>
      <c r="BZ98" s="25">
        <v>0.29090909090909084</v>
      </c>
      <c r="CA98" s="23">
        <v>0.24189879517124074</v>
      </c>
      <c r="CB98" s="23">
        <v>24.189879517124073</v>
      </c>
      <c r="CC98" s="23">
        <v>1.3836337052705823</v>
      </c>
      <c r="CD98" s="23">
        <v>0.23932748485115019</v>
      </c>
      <c r="CE98" s="23">
        <v>0.78989611873995369</v>
      </c>
      <c r="CF98" s="23">
        <v>1.3463973063973065</v>
      </c>
      <c r="CG98" s="23">
        <f t="shared" si="31"/>
        <v>0.29743236329628042</v>
      </c>
      <c r="CH98" s="26">
        <v>22.5</v>
      </c>
      <c r="CI98" s="26">
        <v>11.56</v>
      </c>
      <c r="CJ98" s="26">
        <v>1.3521825181113625</v>
      </c>
      <c r="CK98" s="26">
        <v>1.0629578340845103</v>
      </c>
      <c r="CL98" s="26">
        <v>0.94636678200692037</v>
      </c>
      <c r="CM98" s="27">
        <v>18.34360153256705</v>
      </c>
      <c r="CN98" s="27">
        <v>0.37954130333231201</v>
      </c>
      <c r="CQ98" s="27">
        <v>77.833846153846167</v>
      </c>
      <c r="CR98" s="27">
        <v>0.14479088628430173</v>
      </c>
      <c r="CS98" s="27">
        <v>0.72605363984674265</v>
      </c>
      <c r="CT98" s="27">
        <v>0.84238461538461584</v>
      </c>
      <c r="CU98" s="27">
        <v>-0.13809722235342442</v>
      </c>
      <c r="CV98" s="27">
        <v>0.78180076628352502</v>
      </c>
      <c r="CW98" s="27">
        <v>1.8930960917710087</v>
      </c>
      <c r="CX98" s="28">
        <v>0.88</v>
      </c>
      <c r="CY98" s="28">
        <v>0.56000000000000005</v>
      </c>
      <c r="CZ98" s="29">
        <v>19.614636019999999</v>
      </c>
      <c r="DA98" s="27">
        <v>0.18685412683753744</v>
      </c>
      <c r="DB98" s="27">
        <v>2.3607257116750975</v>
      </c>
      <c r="DC98" s="27">
        <v>1.322681365714484</v>
      </c>
      <c r="DD98" s="27">
        <v>1</v>
      </c>
      <c r="DE98" s="27">
        <v>0</v>
      </c>
      <c r="DF98" s="27">
        <v>96.5</v>
      </c>
      <c r="DG98" s="28">
        <v>4.5695430083449402</v>
      </c>
      <c r="DH98" s="27">
        <v>0.95938999999999997</v>
      </c>
      <c r="DI98" s="27">
        <v>1.9</v>
      </c>
      <c r="DJ98" s="27">
        <v>1.7</v>
      </c>
      <c r="DK98" s="27">
        <v>1.8</v>
      </c>
      <c r="DL98" s="27">
        <v>1.679984422560547E-2</v>
      </c>
      <c r="DM98" s="27">
        <v>0.6855</v>
      </c>
      <c r="DN98" s="28">
        <v>0.84760000000000002</v>
      </c>
      <c r="DO98" s="28">
        <v>0.14154882154882151</v>
      </c>
      <c r="DP98" s="28">
        <f t="shared" si="45"/>
        <v>-9.5288372706876123E-2</v>
      </c>
      <c r="DQ98" s="27">
        <v>0.10279999999999989</v>
      </c>
      <c r="DR98" s="27">
        <v>2.77430650961079E-2</v>
      </c>
      <c r="DS98" s="27">
        <v>5.0662060808238797E-2</v>
      </c>
      <c r="DT98" s="27">
        <v>2.4490842135800685E-2</v>
      </c>
      <c r="DU98" s="30">
        <v>4.6191050000000002</v>
      </c>
      <c r="DV98">
        <v>-0.9</v>
      </c>
      <c r="DW98">
        <v>-0.7</v>
      </c>
      <c r="DX98">
        <v>96.2</v>
      </c>
      <c r="DY98">
        <v>92.4</v>
      </c>
      <c r="DZ98">
        <v>2.1</v>
      </c>
      <c r="EA98">
        <v>1.9</v>
      </c>
      <c r="EB98">
        <v>2.1588159999999998</v>
      </c>
    </row>
    <row r="99" spans="1:132" ht="18">
      <c r="A99" s="14" t="s">
        <v>154</v>
      </c>
      <c r="B99" s="14">
        <v>7</v>
      </c>
      <c r="C99" s="14" t="s">
        <v>133</v>
      </c>
      <c r="D99" s="14" t="s">
        <v>134</v>
      </c>
      <c r="E99" s="14" t="s">
        <v>145</v>
      </c>
      <c r="F99" s="15">
        <v>2817.7</v>
      </c>
      <c r="G99" s="15">
        <v>3.4498947519812111</v>
      </c>
      <c r="H99" s="15">
        <v>1879.2</v>
      </c>
      <c r="I99" s="15">
        <v>938.5</v>
      </c>
      <c r="J99" s="16">
        <v>0</v>
      </c>
      <c r="K99" s="16">
        <v>1</v>
      </c>
      <c r="L99" s="17">
        <v>0.16594619425663737</v>
      </c>
      <c r="M99" s="18">
        <v>130</v>
      </c>
      <c r="N99" s="18">
        <v>64</v>
      </c>
      <c r="O99" s="18">
        <v>0.86177514792899435</v>
      </c>
      <c r="P99" s="18">
        <v>3</v>
      </c>
      <c r="Q99" s="18">
        <f t="shared" si="43"/>
        <v>2.3333333333333335</v>
      </c>
      <c r="R99" s="18">
        <v>130</v>
      </c>
      <c r="S99" s="18">
        <v>5</v>
      </c>
      <c r="T99" s="19">
        <v>7596</v>
      </c>
      <c r="U99" s="19">
        <v>3.8805849560649799</v>
      </c>
      <c r="V99" s="20">
        <v>36706</v>
      </c>
      <c r="W99" s="20">
        <v>4.5647370602714128</v>
      </c>
      <c r="X99" s="20">
        <v>0.5793427822847943</v>
      </c>
      <c r="Y99" s="20">
        <v>0.43624958870000002</v>
      </c>
      <c r="Z99" s="20">
        <f t="shared" si="27"/>
        <v>-0.36026496948927855</v>
      </c>
      <c r="AA99" s="20">
        <v>0.42540604500000001</v>
      </c>
      <c r="AB99" s="20">
        <v>366.8</v>
      </c>
      <c r="AC99" s="20"/>
      <c r="AD99" s="21">
        <v>964.4</v>
      </c>
      <c r="AE99" s="21">
        <f t="shared" si="35"/>
        <v>5.679756884732267E-2</v>
      </c>
      <c r="AF99" s="21">
        <f t="shared" si="36"/>
        <v>2.9842572017054159</v>
      </c>
      <c r="AG99" s="22">
        <v>3.457089684091498E-2</v>
      </c>
      <c r="AH99" s="22">
        <v>587</v>
      </c>
      <c r="AI99" s="22">
        <v>3.2431030010000002</v>
      </c>
      <c r="AJ99" s="22">
        <v>63358</v>
      </c>
      <c r="AK99" s="23">
        <f t="shared" si="37"/>
        <v>4.8018014595746052</v>
      </c>
      <c r="AL99" s="24">
        <v>0.43302283699999999</v>
      </c>
      <c r="AM99" s="22">
        <f>3771.8+7356.4</f>
        <v>11128.2</v>
      </c>
      <c r="AN99" s="22">
        <f t="shared" si="42"/>
        <v>0.65538646375650789</v>
      </c>
      <c r="AO99" s="23">
        <v>0.11116305054213366</v>
      </c>
      <c r="AP99" s="33">
        <v>4.0435066999999998E-2</v>
      </c>
      <c r="AQ99" s="23">
        <v>0.60675816706345653</v>
      </c>
      <c r="AR99" s="22">
        <v>16979.599999999999</v>
      </c>
      <c r="AS99" s="23">
        <v>4.2299274550575836</v>
      </c>
      <c r="AT99" s="23">
        <v>4.2822912252817158</v>
      </c>
      <c r="AU99" s="22">
        <v>0.64300000000000002</v>
      </c>
      <c r="AV99" s="22">
        <v>0.41315402579999999</v>
      </c>
      <c r="AW99" s="22">
        <v>37.5</v>
      </c>
      <c r="AX99" s="22">
        <v>60.55</v>
      </c>
      <c r="AY99" s="22">
        <v>1</v>
      </c>
      <c r="AZ99" s="24">
        <v>17541.8</v>
      </c>
      <c r="BA99" s="24">
        <f t="shared" si="29"/>
        <v>4.2440741551622105</v>
      </c>
      <c r="BB99" s="24">
        <v>5187.2</v>
      </c>
      <c r="BC99" s="24">
        <f t="shared" si="30"/>
        <v>3.714932993168421</v>
      </c>
      <c r="BD99" s="24">
        <v>12354.599999999999</v>
      </c>
      <c r="BE99" s="22">
        <v>1950</v>
      </c>
      <c r="BF99" s="22">
        <f t="shared" si="46"/>
        <v>353.75</v>
      </c>
      <c r="BG99" s="23">
        <v>-0.2662276575729069</v>
      </c>
      <c r="BH99" s="23">
        <v>0.11484369478668521</v>
      </c>
      <c r="BI99" s="23">
        <v>0.13873372521586602</v>
      </c>
      <c r="BJ99" s="23">
        <v>2.940285676664384E-2</v>
      </c>
      <c r="BK99" s="23">
        <v>-0.17220059788640829</v>
      </c>
      <c r="BL99" s="22">
        <v>2657.5</v>
      </c>
      <c r="BM99" s="22">
        <v>2597.1</v>
      </c>
      <c r="BN99" s="22">
        <f t="shared" si="44"/>
        <v>23.450000000000045</v>
      </c>
      <c r="BO99" s="22">
        <v>3.4144886722369518</v>
      </c>
      <c r="BP99" s="22">
        <v>0.1480520813143463</v>
      </c>
      <c r="BQ99" s="22">
        <v>3.4533587309623082E-3</v>
      </c>
      <c r="BR99" s="22">
        <v>9.2099072972319507E-4</v>
      </c>
      <c r="BS99" s="22">
        <v>-2045.2</v>
      </c>
      <c r="BT99" s="22">
        <v>3.3107357840544993</v>
      </c>
      <c r="BU99" s="22">
        <v>0.12045042286037363</v>
      </c>
      <c r="BV99" s="23">
        <v>2603.9</v>
      </c>
      <c r="BW99" s="22">
        <v>4777.3</v>
      </c>
      <c r="BX99" s="22">
        <v>62.3</v>
      </c>
      <c r="BY99" s="22">
        <v>1.7944880466591695</v>
      </c>
      <c r="BZ99" s="25">
        <v>-0.36415595019391717</v>
      </c>
      <c r="CA99" s="23">
        <v>0.78989611873995369</v>
      </c>
      <c r="CB99" s="23">
        <v>78.989611873995372</v>
      </c>
      <c r="CC99" s="23">
        <v>1.8975699798670496</v>
      </c>
      <c r="CD99" s="23">
        <v>0.24189879517124074</v>
      </c>
      <c r="CE99" s="23">
        <v>0.49231805022244529</v>
      </c>
      <c r="CF99" s="23">
        <v>1.8615903975993999</v>
      </c>
      <c r="CG99" s="23">
        <f t="shared" si="31"/>
        <v>0.62143117484878685</v>
      </c>
      <c r="CH99" s="26">
        <v>40</v>
      </c>
      <c r="CI99" s="26">
        <v>22.5</v>
      </c>
      <c r="CJ99" s="26">
        <v>1.6020599913279623</v>
      </c>
      <c r="CK99" s="26">
        <v>1.3521825181113625</v>
      </c>
      <c r="CL99" s="26">
        <v>0.77777777777777779</v>
      </c>
      <c r="CM99" s="27">
        <v>34.430804597701169</v>
      </c>
      <c r="CN99" s="27">
        <v>0.87699261437690179</v>
      </c>
      <c r="CO99" s="27">
        <v>14.002720000000007</v>
      </c>
      <c r="CQ99" s="27">
        <v>141.16230769230771</v>
      </c>
      <c r="CR99" s="27">
        <v>0.81363654332700808</v>
      </c>
      <c r="CS99" s="27">
        <v>1.4151340996168575</v>
      </c>
      <c r="CT99" s="27">
        <v>0.72605363984674265</v>
      </c>
      <c r="CU99" s="27">
        <v>0.94907651715039654</v>
      </c>
      <c r="CV99" s="27">
        <v>1.549389312977099</v>
      </c>
      <c r="CW99" s="27">
        <v>2.1901605560639821</v>
      </c>
      <c r="CX99" s="28">
        <v>2.34</v>
      </c>
      <c r="CY99" s="28">
        <v>0.88</v>
      </c>
      <c r="CZ99" s="29">
        <v>33.709007630000002</v>
      </c>
      <c r="DA99" s="27">
        <v>0.71856401493398725</v>
      </c>
      <c r="DB99" s="27">
        <v>3.1430399491928545</v>
      </c>
      <c r="DC99" s="27">
        <v>2.3607257116750975</v>
      </c>
      <c r="DD99" s="27">
        <v>1</v>
      </c>
      <c r="DE99" s="27">
        <v>-0.4</v>
      </c>
      <c r="DF99" s="27">
        <v>98.8</v>
      </c>
      <c r="DG99" s="28">
        <v>4.5930976047538223</v>
      </c>
      <c r="DH99" s="27">
        <v>0.97638000000000003</v>
      </c>
      <c r="DI99" s="27">
        <v>1.8</v>
      </c>
      <c r="DJ99" s="27">
        <v>1.8</v>
      </c>
      <c r="DK99" s="27">
        <v>2</v>
      </c>
      <c r="DL99" s="27">
        <v>4.1965997035105826E-2</v>
      </c>
      <c r="DM99" s="27">
        <v>0.71560000000000001</v>
      </c>
      <c r="DN99" s="28">
        <v>0.75849999999999995</v>
      </c>
      <c r="DO99" s="28">
        <v>-0.10512033978291654</v>
      </c>
      <c r="DP99" s="28">
        <f t="shared" si="45"/>
        <v>4.3909555069292512E-2</v>
      </c>
      <c r="DQ99" s="27">
        <v>0.17789999999999995</v>
      </c>
      <c r="DR99" s="27">
        <v>5.0662060808238797E-2</v>
      </c>
      <c r="DS99" s="27">
        <v>3.802148779895468E-2</v>
      </c>
      <c r="DT99" s="27">
        <v>2.77430650961079E-2</v>
      </c>
      <c r="DU99" s="30">
        <v>5.7984980000000004</v>
      </c>
      <c r="DV99">
        <v>-1</v>
      </c>
      <c r="DW99">
        <v>0.7</v>
      </c>
      <c r="DX99">
        <v>98</v>
      </c>
      <c r="DY99">
        <v>95</v>
      </c>
      <c r="DZ99">
        <v>1.6</v>
      </c>
      <c r="EA99">
        <v>1.7</v>
      </c>
      <c r="EB99">
        <v>2.0603549999999999</v>
      </c>
    </row>
    <row r="100" spans="1:132" ht="18">
      <c r="A100" s="14" t="s">
        <v>154</v>
      </c>
      <c r="B100" s="14">
        <v>8</v>
      </c>
      <c r="C100" s="14" t="s">
        <v>133</v>
      </c>
      <c r="D100" s="14" t="s">
        <v>134</v>
      </c>
      <c r="E100" s="14" t="s">
        <v>145</v>
      </c>
      <c r="F100" s="15">
        <v>2103.5</v>
      </c>
      <c r="G100" s="15">
        <v>3.3229425163530153</v>
      </c>
      <c r="H100" s="15">
        <v>2004.9</v>
      </c>
      <c r="I100" s="15">
        <v>98.6</v>
      </c>
      <c r="J100" s="16">
        <v>0</v>
      </c>
      <c r="K100" s="16">
        <v>1</v>
      </c>
      <c r="L100" s="17">
        <v>9.0311916364338926E-2</v>
      </c>
      <c r="M100" s="18">
        <v>130</v>
      </c>
      <c r="N100" s="18">
        <v>64</v>
      </c>
      <c r="O100" s="18">
        <v>0.86177514792899435</v>
      </c>
      <c r="P100" s="18">
        <v>3</v>
      </c>
      <c r="Q100" s="18">
        <f t="shared" si="43"/>
        <v>2.3333333333333335</v>
      </c>
      <c r="R100" s="18">
        <v>130</v>
      </c>
      <c r="S100" s="18">
        <v>5</v>
      </c>
      <c r="T100" s="19">
        <v>8007.8</v>
      </c>
      <c r="U100" s="19">
        <v>3.903513217820282</v>
      </c>
      <c r="V100" s="20">
        <v>35204</v>
      </c>
      <c r="W100" s="20">
        <v>4.5465920123199437</v>
      </c>
      <c r="X100" s="20">
        <v>0.52029203984511252</v>
      </c>
      <c r="Y100" s="20">
        <v>0.43643806699999999</v>
      </c>
      <c r="Z100" s="20">
        <f t="shared" si="27"/>
        <v>-0.36007737639938764</v>
      </c>
      <c r="AA100" s="20">
        <v>0.2395873137</v>
      </c>
      <c r="AB100" s="20">
        <v>292.8</v>
      </c>
      <c r="AC100" s="20"/>
      <c r="AD100" s="21">
        <v>889</v>
      </c>
      <c r="AE100" s="21">
        <f t="shared" si="35"/>
        <v>3.8168430543331258E-2</v>
      </c>
      <c r="AF100" s="21">
        <f t="shared" si="36"/>
        <v>2.9489017609702137</v>
      </c>
      <c r="AG100" s="22">
        <v>2.614687761629779E-2</v>
      </c>
      <c r="AH100" s="22">
        <v>609</v>
      </c>
      <c r="AI100" s="22">
        <v>3.4357993819999999</v>
      </c>
      <c r="AJ100" s="22">
        <v>67662</v>
      </c>
      <c r="AK100" s="23">
        <f t="shared" si="37"/>
        <v>4.8303448308171184</v>
      </c>
      <c r="AL100" s="24">
        <v>0.45830614800000002</v>
      </c>
      <c r="AM100" s="22">
        <f>4306.6+5386.5</f>
        <v>9693.1</v>
      </c>
      <c r="AN100" s="22">
        <f t="shared" si="42"/>
        <v>0.41616469527510036</v>
      </c>
      <c r="AO100" s="23">
        <v>0.10272655471996156</v>
      </c>
      <c r="AP100" s="33">
        <v>1.4762178000000001E-2</v>
      </c>
      <c r="AQ100" s="23">
        <v>0.169150437676723</v>
      </c>
      <c r="AR100" s="22">
        <v>23291.5</v>
      </c>
      <c r="AS100" s="23">
        <v>4.3671974585108764</v>
      </c>
      <c r="AT100" s="23">
        <v>4.2299274550575836</v>
      </c>
      <c r="AU100" s="22">
        <v>0.42199999999999999</v>
      </c>
      <c r="AV100" s="22">
        <v>0.23027651129999999</v>
      </c>
      <c r="AW100" s="22">
        <v>46.72</v>
      </c>
      <c r="AX100" s="22">
        <v>37.5</v>
      </c>
      <c r="AY100" s="22">
        <v>1</v>
      </c>
      <c r="AZ100" s="24">
        <v>17472.599999999999</v>
      </c>
      <c r="BA100" s="24">
        <f t="shared" si="29"/>
        <v>4.2423575347274278</v>
      </c>
      <c r="BB100" s="24">
        <v>5161.6000000000004</v>
      </c>
      <c r="BC100" s="24">
        <f t="shared" si="30"/>
        <v>3.7127843457088674</v>
      </c>
      <c r="BD100" s="24">
        <v>12310.999999999998</v>
      </c>
      <c r="BE100" s="22">
        <v>1794.9</v>
      </c>
      <c r="BF100" s="22">
        <f t="shared" si="46"/>
        <v>77.549999999999955</v>
      </c>
      <c r="BG100" s="23">
        <v>-7.9538461538461488E-2</v>
      </c>
      <c r="BH100" s="23">
        <v>7.7062447674044188E-2</v>
      </c>
      <c r="BI100" s="23">
        <v>0.11484369478668521</v>
      </c>
      <c r="BJ100" s="23">
        <v>2.940285676664384E-2</v>
      </c>
      <c r="BK100" s="23">
        <v>-0.32897972485835869</v>
      </c>
      <c r="BL100" s="22">
        <v>1950</v>
      </c>
      <c r="BM100" s="22">
        <v>3224.5</v>
      </c>
      <c r="BN100" s="22">
        <f t="shared" si="44"/>
        <v>313.69999999999919</v>
      </c>
      <c r="BO100" s="22">
        <v>3.5084623812733606</v>
      </c>
      <c r="BP100" s="22">
        <v>0.18454608930554126</v>
      </c>
      <c r="BQ100" s="22">
        <v>1.8247003995597425E-2</v>
      </c>
      <c r="BR100" s="22">
        <v>3.4533587309623082E-3</v>
      </c>
      <c r="BS100" s="22">
        <v>-723.9</v>
      </c>
      <c r="BT100" s="22">
        <v>2.8596785766284483</v>
      </c>
      <c r="BU100" s="22">
        <v>3.1080007728141165E-2</v>
      </c>
      <c r="BV100" s="23">
        <v>3113.3</v>
      </c>
      <c r="BW100" s="22">
        <v>3131.3</v>
      </c>
      <c r="BX100" s="22">
        <v>78</v>
      </c>
      <c r="BY100" s="22">
        <v>1.8920946026904804</v>
      </c>
      <c r="BZ100" s="25">
        <v>0.25200642054574646</v>
      </c>
      <c r="CA100" s="23">
        <v>0.49231805022244529</v>
      </c>
      <c r="CB100" s="23">
        <v>49.231805022244529</v>
      </c>
      <c r="CC100" s="23">
        <v>1.6922457589259097</v>
      </c>
      <c r="CD100" s="23">
        <v>0.78989611873995369</v>
      </c>
      <c r="CE100" s="23">
        <v>0.39926939065652539</v>
      </c>
      <c r="CF100" s="23">
        <v>1.7243478260869565</v>
      </c>
      <c r="CG100" s="23">
        <f t="shared" si="31"/>
        <v>0.54484890716250023</v>
      </c>
      <c r="CH100" s="26">
        <v>21.68</v>
      </c>
      <c r="CI100" s="26">
        <v>40</v>
      </c>
      <c r="CJ100" s="26">
        <v>1.3360592778663494</v>
      </c>
      <c r="CK100" s="26">
        <v>1.6020599913279623</v>
      </c>
      <c r="CL100" s="26">
        <v>-0.45800000000000002</v>
      </c>
      <c r="CM100" s="27">
        <v>32.806781609195411</v>
      </c>
      <c r="CN100" s="27">
        <v>-4.7167732717294325E-2</v>
      </c>
      <c r="CO100" s="27">
        <v>14.687391304347829</v>
      </c>
      <c r="CP100" s="27">
        <v>4.8895593452402179E-2</v>
      </c>
      <c r="CQ100" s="27">
        <v>128.33115384615388</v>
      </c>
      <c r="CR100" s="27">
        <v>-9.0896458522922177E-2</v>
      </c>
      <c r="CS100" s="27">
        <v>1.3546743295019157</v>
      </c>
      <c r="CT100" s="27">
        <v>1.4151340996168575</v>
      </c>
      <c r="CU100" s="27">
        <v>-4.272370380397951E-2</v>
      </c>
      <c r="CV100" s="27">
        <v>1.5608045977011498</v>
      </c>
      <c r="CW100" s="27">
        <v>2.1933485357004661</v>
      </c>
      <c r="CX100" s="28">
        <v>1.03</v>
      </c>
      <c r="CY100" s="28">
        <v>2.34</v>
      </c>
      <c r="CZ100" s="29">
        <v>33.580881230000003</v>
      </c>
      <c r="DA100" s="27">
        <v>-3.8009543741646867E-3</v>
      </c>
      <c r="DB100" s="27">
        <v>1.4102002336892525</v>
      </c>
      <c r="DC100" s="27">
        <v>3.1430399491928545</v>
      </c>
      <c r="DD100" s="27">
        <v>1</v>
      </c>
      <c r="DE100" s="27">
        <v>2.4</v>
      </c>
      <c r="DF100" s="27">
        <v>98.9</v>
      </c>
      <c r="DG100" s="28">
        <v>4.5941092386286666</v>
      </c>
      <c r="DH100" s="27">
        <v>0.99031999999999998</v>
      </c>
      <c r="DI100" s="27">
        <v>2</v>
      </c>
      <c r="DJ100" s="27">
        <v>3.5</v>
      </c>
      <c r="DK100" s="27">
        <v>2.6</v>
      </c>
      <c r="DL100" s="27">
        <v>2.4369778879479467E-2</v>
      </c>
      <c r="DM100" s="27">
        <v>0.69779999999999998</v>
      </c>
      <c r="DN100" s="28">
        <v>0.68400000000000005</v>
      </c>
      <c r="DO100" s="28">
        <v>-9.8220171390902972E-2</v>
      </c>
      <c r="DP100" s="28">
        <f t="shared" si="45"/>
        <v>-2.487423141419793E-2</v>
      </c>
      <c r="DQ100" s="27">
        <v>0.13560000000000005</v>
      </c>
      <c r="DR100" s="27">
        <v>3.802148779895468E-2</v>
      </c>
      <c r="DS100" s="27">
        <v>3.4239891893164551E-2</v>
      </c>
      <c r="DT100" s="27">
        <v>5.0662060808238797E-2</v>
      </c>
      <c r="DU100" s="30">
        <v>9.2708490000000001</v>
      </c>
      <c r="DV100">
        <v>2.2000000000000002</v>
      </c>
      <c r="DW100">
        <v>2.6</v>
      </c>
      <c r="DX100">
        <v>98.8</v>
      </c>
      <c r="DY100">
        <v>96.9</v>
      </c>
      <c r="DZ100">
        <v>1.3</v>
      </c>
      <c r="EA100">
        <v>2.5</v>
      </c>
      <c r="EB100">
        <v>1.1868369999999999</v>
      </c>
    </row>
    <row r="101" spans="1:132" ht="18">
      <c r="A101" s="14" t="s">
        <v>154</v>
      </c>
      <c r="B101" s="14">
        <v>9</v>
      </c>
      <c r="C101" s="14" t="s">
        <v>133</v>
      </c>
      <c r="D101" s="14" t="s">
        <v>134</v>
      </c>
      <c r="E101" s="14" t="s">
        <v>145</v>
      </c>
      <c r="F101" s="15">
        <v>2534.3000000000002</v>
      </c>
      <c r="G101" s="15">
        <v>3.4038580235832425</v>
      </c>
      <c r="H101" s="15">
        <v>2076.1999999999998</v>
      </c>
      <c r="I101" s="15">
        <v>458.1</v>
      </c>
      <c r="J101" s="16">
        <v>0</v>
      </c>
      <c r="K101" s="16">
        <v>1</v>
      </c>
      <c r="L101" s="17">
        <v>0.10540040341866123</v>
      </c>
      <c r="M101" s="18">
        <v>130</v>
      </c>
      <c r="N101" s="18">
        <v>64</v>
      </c>
      <c r="O101" s="18">
        <v>0.86177514792899435</v>
      </c>
      <c r="P101" s="18">
        <v>3</v>
      </c>
      <c r="Q101" s="18">
        <f t="shared" si="43"/>
        <v>2.3333333333333335</v>
      </c>
      <c r="R101" s="18">
        <v>130</v>
      </c>
      <c r="S101" s="18">
        <v>5</v>
      </c>
      <c r="T101" s="19">
        <v>9559</v>
      </c>
      <c r="U101" s="19">
        <v>3.9804124616068917</v>
      </c>
      <c r="V101" s="20">
        <v>37077</v>
      </c>
      <c r="W101" s="20">
        <v>4.569104586956974</v>
      </c>
      <c r="X101" s="20">
        <v>0.57356558328047891</v>
      </c>
      <c r="Y101" s="20">
        <v>0.46486799200000001</v>
      </c>
      <c r="Z101" s="20">
        <f t="shared" si="27"/>
        <v>-0.33267035568039255</v>
      </c>
      <c r="AA101" s="20">
        <v>0.27657190869999998</v>
      </c>
      <c r="AB101" s="20">
        <v>369.8</v>
      </c>
      <c r="AC101" s="20"/>
      <c r="AD101" s="21">
        <v>468.5</v>
      </c>
      <c r="AE101" s="21">
        <f t="shared" si="35"/>
        <v>1.9484705441992971E-2</v>
      </c>
      <c r="AF101" s="21">
        <f t="shared" si="36"/>
        <v>2.6707095952237969</v>
      </c>
      <c r="AG101" s="22">
        <v>2.744910478487804E-2</v>
      </c>
      <c r="AH101" s="22">
        <v>660</v>
      </c>
      <c r="AI101" s="22">
        <v>3.3586707919999998</v>
      </c>
      <c r="AJ101" s="22">
        <v>64643</v>
      </c>
      <c r="AK101" s="23">
        <f t="shared" si="37"/>
        <v>4.8105215032927156</v>
      </c>
      <c r="AL101" s="24">
        <v>0.49031073400000003</v>
      </c>
      <c r="AM101" s="22">
        <f>2596.6+6582.1</f>
        <v>9178.7000000000007</v>
      </c>
      <c r="AN101" s="22">
        <f t="shared" si="42"/>
        <v>0.38173802740751528</v>
      </c>
      <c r="AO101" s="23">
        <v>0.11499912801731656</v>
      </c>
      <c r="AP101" s="33">
        <v>5.6655500000000005E-4</v>
      </c>
      <c r="AQ101" s="23">
        <v>-1.2467579233344663</v>
      </c>
      <c r="AR101" s="22">
        <v>24044.5</v>
      </c>
      <c r="AS101" s="23">
        <v>4.3810157504471023</v>
      </c>
      <c r="AT101" s="23">
        <v>4.3671974585108764</v>
      </c>
      <c r="AU101" s="22">
        <v>0.31900000000000001</v>
      </c>
      <c r="AV101" s="22">
        <v>0.1070429167</v>
      </c>
      <c r="AW101" s="22">
        <v>49.93</v>
      </c>
      <c r="AX101" s="22">
        <v>46.72</v>
      </c>
      <c r="AY101" s="22">
        <v>1</v>
      </c>
      <c r="AZ101" s="24">
        <v>19495.8</v>
      </c>
      <c r="BA101" s="24">
        <f t="shared" si="29"/>
        <v>4.2899410609375463</v>
      </c>
      <c r="BB101" s="24">
        <v>5696.5</v>
      </c>
      <c r="BC101" s="24">
        <f t="shared" si="30"/>
        <v>3.7556081017156715</v>
      </c>
      <c r="BD101" s="24">
        <v>13799.3</v>
      </c>
      <c r="BE101" s="22">
        <v>2242</v>
      </c>
      <c r="BF101" s="22">
        <f t="shared" si="46"/>
        <v>223.54999999999905</v>
      </c>
      <c r="BG101" s="23">
        <v>0.24909465708396006</v>
      </c>
      <c r="BH101" s="23">
        <v>9.3243777163176611E-2</v>
      </c>
      <c r="BI101" s="23">
        <v>7.7062447674044188E-2</v>
      </c>
      <c r="BJ101" s="23">
        <v>2.940285676664384E-2</v>
      </c>
      <c r="BK101" s="23">
        <v>0.20997684316459289</v>
      </c>
      <c r="BL101" s="22">
        <v>1794.9</v>
      </c>
      <c r="BM101" s="22">
        <v>3303.6</v>
      </c>
      <c r="BN101" s="22">
        <f t="shared" si="44"/>
        <v>39.549999999999955</v>
      </c>
      <c r="BO101" s="22">
        <v>3.518987457440955</v>
      </c>
      <c r="BP101" s="22">
        <v>0.16945188194380328</v>
      </c>
      <c r="BQ101" s="22">
        <v>7.5471036808689856E-3</v>
      </c>
      <c r="BR101" s="22">
        <v>1.8247003995597425E-2</v>
      </c>
      <c r="BS101" s="22">
        <v>-818</v>
      </c>
      <c r="BT101" s="22">
        <v>2.9127533036713231</v>
      </c>
      <c r="BU101" s="22">
        <v>3.4020254112167025E-2</v>
      </c>
      <c r="BV101" s="23">
        <v>3003.1</v>
      </c>
      <c r="BW101" s="22">
        <v>1591.3</v>
      </c>
      <c r="BX101" s="22">
        <v>83.08</v>
      </c>
      <c r="BY101" s="22">
        <v>1.9194964878630616</v>
      </c>
      <c r="BZ101" s="25">
        <v>6.5128205128205108E-2</v>
      </c>
      <c r="CA101" s="23">
        <v>0.39926939065652539</v>
      </c>
      <c r="CB101" s="23">
        <v>39.92693906565254</v>
      </c>
      <c r="CC101" s="23">
        <v>1.6012660169849364</v>
      </c>
      <c r="CD101" s="23">
        <v>0.49231805022244529</v>
      </c>
      <c r="CE101" s="23">
        <v>0.34077807684732797</v>
      </c>
      <c r="CF101" s="23">
        <v>1.241184767277856</v>
      </c>
      <c r="CG101" s="23">
        <f t="shared" si="31"/>
        <v>0.21606638094012454</v>
      </c>
      <c r="CH101" s="26">
        <v>17.75</v>
      </c>
      <c r="CI101" s="26">
        <v>21.68</v>
      </c>
      <c r="CJ101" s="26">
        <v>1.249198357391113</v>
      </c>
      <c r="CK101" s="26">
        <v>1.3360592778663494</v>
      </c>
      <c r="CL101" s="26">
        <v>-0.18127306273062729</v>
      </c>
      <c r="CM101" s="27">
        <v>23.674061302682002</v>
      </c>
      <c r="CN101" s="27">
        <v>-0.27837903806917774</v>
      </c>
      <c r="CO101" s="27">
        <v>13.172845849802364</v>
      </c>
      <c r="CP101" s="27">
        <v>-0.10311875153058132</v>
      </c>
      <c r="CQ101" s="27">
        <v>93.814615384615436</v>
      </c>
      <c r="CR101" s="27">
        <v>-0.26896460779054171</v>
      </c>
      <c r="CS101" s="27">
        <v>1.0575095785440605</v>
      </c>
      <c r="CT101" s="27">
        <v>1.3546743295019157</v>
      </c>
      <c r="CU101" s="27">
        <v>-0.21936250247475808</v>
      </c>
      <c r="CV101" s="27">
        <v>1.2699233716475098</v>
      </c>
      <c r="CW101" s="27">
        <v>2.1037775160152683</v>
      </c>
      <c r="CX101" s="28">
        <v>0.92</v>
      </c>
      <c r="CY101" s="28">
        <v>1.03</v>
      </c>
      <c r="CZ101" s="29">
        <v>26.404674329999999</v>
      </c>
      <c r="DA101" s="27">
        <v>-0.21369918349816944</v>
      </c>
      <c r="DB101" s="27">
        <v>3.3676575479931978</v>
      </c>
      <c r="DC101" s="27">
        <v>1.4102002336892525</v>
      </c>
      <c r="DD101" s="27">
        <v>1</v>
      </c>
      <c r="DE101" s="27">
        <v>2.2999999999999998</v>
      </c>
      <c r="DF101" s="27">
        <v>100</v>
      </c>
      <c r="DG101" s="28">
        <v>4.6051701859880918</v>
      </c>
      <c r="DH101" s="27">
        <v>1</v>
      </c>
      <c r="DI101" s="27">
        <v>1.8</v>
      </c>
      <c r="DJ101" s="27">
        <v>2</v>
      </c>
      <c r="DK101" s="27">
        <v>2.5</v>
      </c>
      <c r="DL101" s="27">
        <v>2.4833477735949187E-2</v>
      </c>
      <c r="DM101" s="27">
        <v>0.74709999999999999</v>
      </c>
      <c r="DN101" s="28">
        <v>0.71719999999999995</v>
      </c>
      <c r="DO101" s="28">
        <v>4.8538011695906276E-2</v>
      </c>
      <c r="DP101" s="28">
        <f t="shared" si="45"/>
        <v>7.0650616222413323E-2</v>
      </c>
      <c r="DQ101" s="27">
        <v>0.14990000000000003</v>
      </c>
      <c r="DR101" s="27">
        <v>3.4239891893164551E-2</v>
      </c>
      <c r="DS101" s="27">
        <v>2.4180879115385762E-2</v>
      </c>
      <c r="DT101" s="27">
        <v>3.802148779895468E-2</v>
      </c>
      <c r="DU101" s="30">
        <v>9.6228090000000002</v>
      </c>
      <c r="DV101">
        <v>2.7</v>
      </c>
      <c r="DW101">
        <v>2.9</v>
      </c>
      <c r="DX101">
        <v>100</v>
      </c>
      <c r="DY101">
        <v>100</v>
      </c>
      <c r="DZ101">
        <v>0.2</v>
      </c>
      <c r="EA101">
        <v>2</v>
      </c>
      <c r="EB101">
        <v>1.2855829999999999</v>
      </c>
    </row>
    <row r="102" spans="1:132" ht="18">
      <c r="A102" s="14" t="s">
        <v>154</v>
      </c>
      <c r="B102" s="14">
        <v>10</v>
      </c>
      <c r="C102" s="14" t="s">
        <v>133</v>
      </c>
      <c r="D102" s="14" t="s">
        <v>134</v>
      </c>
      <c r="E102" s="14" t="s">
        <v>145</v>
      </c>
      <c r="F102" s="15">
        <v>2941.5</v>
      </c>
      <c r="G102" s="15">
        <v>3.4685688527234655</v>
      </c>
      <c r="H102" s="15">
        <v>2404.6999999999998</v>
      </c>
      <c r="I102" s="15">
        <v>536.79999999999995</v>
      </c>
      <c r="J102" s="16">
        <v>0</v>
      </c>
      <c r="K102" s="16">
        <v>1</v>
      </c>
      <c r="L102" s="17">
        <v>0.10952207196473251</v>
      </c>
      <c r="M102" s="18">
        <v>130</v>
      </c>
      <c r="N102" s="18">
        <v>64</v>
      </c>
      <c r="O102" s="18">
        <v>0.86177514792899435</v>
      </c>
      <c r="P102" s="18">
        <v>3</v>
      </c>
      <c r="Q102" s="18">
        <f t="shared" si="43"/>
        <v>2.3333333333333335</v>
      </c>
      <c r="R102" s="18">
        <v>130</v>
      </c>
      <c r="S102" s="18">
        <v>5</v>
      </c>
      <c r="T102" s="19">
        <v>10287</v>
      </c>
      <c r="U102" s="19">
        <v>4.0122887398346068</v>
      </c>
      <c r="V102" s="20">
        <v>38731</v>
      </c>
      <c r="W102" s="20">
        <v>4.5880587102284096</v>
      </c>
      <c r="X102" s="20">
        <v>0.56224777168074791</v>
      </c>
      <c r="Y102" s="20">
        <v>0.47909850749999999</v>
      </c>
      <c r="Z102" s="20">
        <f t="shared" si="27"/>
        <v>-0.31957518206509378</v>
      </c>
      <c r="AA102" s="20">
        <v>0.15174363809999999</v>
      </c>
      <c r="AB102" s="20">
        <v>484.7</v>
      </c>
      <c r="AC102" s="20"/>
      <c r="AD102" s="21">
        <v>1148.3</v>
      </c>
      <c r="AE102" s="21">
        <f t="shared" si="35"/>
        <v>4.275512331704992E-2</v>
      </c>
      <c r="AF102" s="21">
        <f t="shared" si="36"/>
        <v>3.0600553648248447</v>
      </c>
      <c r="AG102" s="22">
        <v>2.6845287739783154E-2</v>
      </c>
      <c r="AH102" s="22">
        <v>721</v>
      </c>
      <c r="AI102" s="22">
        <v>2.7588161919999998</v>
      </c>
      <c r="AJ102" s="22">
        <v>68886</v>
      </c>
      <c r="AK102" s="23">
        <f t="shared" si="37"/>
        <v>4.838130967327805</v>
      </c>
      <c r="AL102" s="24">
        <v>0.50567514300000005</v>
      </c>
      <c r="AM102" s="22">
        <f>2090.2+7129.9</f>
        <v>9220.0999999999985</v>
      </c>
      <c r="AN102" s="22">
        <f t="shared" si="42"/>
        <v>0.34329575241272486</v>
      </c>
      <c r="AO102" s="23">
        <v>0.11998662937310441</v>
      </c>
      <c r="AP102" s="33">
        <v>2.2544279E-2</v>
      </c>
      <c r="AQ102" s="23">
        <v>0.35303635047299414</v>
      </c>
      <c r="AR102" s="22">
        <v>26857.599999999999</v>
      </c>
      <c r="AS102" s="23">
        <v>4.4290672014330115</v>
      </c>
      <c r="AT102" s="23">
        <v>4.3810157504471023</v>
      </c>
      <c r="AU102" s="22">
        <v>0.249</v>
      </c>
      <c r="AV102" s="22">
        <v>6.5103753259999994E-2</v>
      </c>
      <c r="AW102" s="22">
        <v>48.66</v>
      </c>
      <c r="AX102" s="22">
        <v>49.93</v>
      </c>
      <c r="AY102" s="22">
        <v>1</v>
      </c>
      <c r="AZ102" s="24">
        <v>20343.099999999999</v>
      </c>
      <c r="BA102" s="24">
        <f t="shared" si="29"/>
        <v>4.3084171339509929</v>
      </c>
      <c r="BB102" s="24">
        <v>5851.5</v>
      </c>
      <c r="BC102" s="24">
        <f t="shared" si="30"/>
        <v>3.7672672093674726</v>
      </c>
      <c r="BD102" s="24">
        <v>14491.599999999999</v>
      </c>
      <c r="BE102" s="22">
        <v>2440.9</v>
      </c>
      <c r="BF102" s="22">
        <f t="shared" si="46"/>
        <v>99.450000000000045</v>
      </c>
      <c r="BG102" s="23">
        <v>8.8715432649420195E-2</v>
      </c>
      <c r="BH102" s="23">
        <v>9.0883027522935783E-2</v>
      </c>
      <c r="BI102" s="23">
        <v>9.3243777163176611E-2</v>
      </c>
      <c r="BJ102" s="23">
        <v>2.940285676664384E-2</v>
      </c>
      <c r="BK102" s="23">
        <v>-2.531803957393871E-2</v>
      </c>
      <c r="BL102" s="22">
        <v>2242</v>
      </c>
      <c r="BM102" s="22">
        <v>2904.2</v>
      </c>
      <c r="BN102" s="22">
        <f t="shared" si="44"/>
        <v>199.70000000000002</v>
      </c>
      <c r="BO102" s="22">
        <v>3.4630265210864271</v>
      </c>
      <c r="BP102" s="22">
        <v>0.14276093614050955</v>
      </c>
      <c r="BQ102" s="22">
        <v>1.3345472901646865E-2</v>
      </c>
      <c r="BR102" s="22">
        <v>7.5471036808689856E-3</v>
      </c>
      <c r="BS102" s="22">
        <v>-1569.1</v>
      </c>
      <c r="BT102" s="22">
        <v>3.1956506224041861</v>
      </c>
      <c r="BU102" s="22">
        <v>5.8422941737161921E-2</v>
      </c>
      <c r="BV102" s="23">
        <v>2825.8</v>
      </c>
      <c r="BW102" s="22">
        <v>1148.3</v>
      </c>
      <c r="BX102" s="22">
        <v>80.7</v>
      </c>
      <c r="BY102" s="22">
        <v>1.9068735347220704</v>
      </c>
      <c r="BZ102" s="25">
        <v>-2.8647087144920504E-2</v>
      </c>
      <c r="CA102" s="23">
        <v>0.34077807684732797</v>
      </c>
      <c r="CB102" s="23">
        <v>34.077807684732797</v>
      </c>
      <c r="CC102" s="23">
        <v>1.5324716476836189</v>
      </c>
      <c r="CD102" s="23">
        <v>0.39926939065652539</v>
      </c>
      <c r="CE102" s="23">
        <v>0.17432835602419061</v>
      </c>
      <c r="CF102" s="23">
        <v>1.3255847740810693</v>
      </c>
      <c r="CG102" s="23">
        <f t="shared" si="31"/>
        <v>0.2818537010059145</v>
      </c>
      <c r="CH102" s="26">
        <v>23.4</v>
      </c>
      <c r="CI102" s="26">
        <v>17.75</v>
      </c>
      <c r="CJ102" s="26">
        <v>1.3692158574101427</v>
      </c>
      <c r="CK102" s="26">
        <v>1.249198357391113</v>
      </c>
      <c r="CL102" s="26">
        <v>0.31830985915492949</v>
      </c>
      <c r="CM102" s="27">
        <v>25.275999999999993</v>
      </c>
      <c r="CN102" s="27">
        <v>6.7666408261623831E-2</v>
      </c>
      <c r="CO102" s="27">
        <v>14.393934426229498</v>
      </c>
      <c r="CP102" s="27">
        <v>9.2697401180433139E-2</v>
      </c>
      <c r="CQ102" s="27">
        <v>94.493822393822356</v>
      </c>
      <c r="CR102" s="27">
        <v>7.2398848134946573E-3</v>
      </c>
      <c r="CS102" s="27">
        <v>1.0720384615384604</v>
      </c>
      <c r="CT102" s="27">
        <v>1.0575095785440605</v>
      </c>
      <c r="CU102" s="27">
        <v>1.37387720065881E-2</v>
      </c>
      <c r="CV102" s="27">
        <v>1.268846153846154</v>
      </c>
      <c r="CW102" s="27">
        <v>2.1034089675745258</v>
      </c>
      <c r="CX102" s="28">
        <v>0.92</v>
      </c>
      <c r="CY102" s="28">
        <v>0.92</v>
      </c>
      <c r="CZ102" s="29">
        <v>29.99596154</v>
      </c>
      <c r="DA102" s="27">
        <v>0.13600952487112158</v>
      </c>
      <c r="DB102" s="27">
        <v>1.9709466682529033</v>
      </c>
      <c r="DC102" s="27">
        <v>3.3676575479931978</v>
      </c>
      <c r="DD102" s="27">
        <v>1</v>
      </c>
      <c r="DE102" s="27">
        <v>1.9</v>
      </c>
      <c r="DF102" s="27">
        <v>100.9</v>
      </c>
      <c r="DG102" s="28">
        <v>4.6141299273595635</v>
      </c>
      <c r="DH102" s="27">
        <v>1.01092</v>
      </c>
      <c r="DI102" s="27">
        <v>1.7</v>
      </c>
      <c r="DJ102" s="27">
        <v>2.4</v>
      </c>
      <c r="DK102" s="27">
        <v>2.7</v>
      </c>
      <c r="DL102" s="27">
        <v>1.6688062333233E-2</v>
      </c>
      <c r="DM102" s="27">
        <v>0.77139999999999997</v>
      </c>
      <c r="DN102" s="28">
        <v>0.69699999999999995</v>
      </c>
      <c r="DO102" s="28">
        <v>-2.8165086447295033E-2</v>
      </c>
      <c r="DP102" s="28">
        <f>(DM102-DM101)/DM101</f>
        <v>3.2525766296345855E-2</v>
      </c>
      <c r="DQ102" s="27">
        <v>0.10270000000000001</v>
      </c>
      <c r="DR102" s="27">
        <v>2.4180879115385762E-2</v>
      </c>
      <c r="DS102" s="27">
        <v>2.0079372103467861E-2</v>
      </c>
      <c r="DT102" s="27">
        <v>3.4239891893164551E-2</v>
      </c>
      <c r="DU102" s="30">
        <v>8.9420310000000001</v>
      </c>
      <c r="DV102">
        <v>2.2000000000000002</v>
      </c>
      <c r="DW102">
        <v>2.4</v>
      </c>
      <c r="DX102">
        <v>102.1</v>
      </c>
      <c r="DY102">
        <v>102.1</v>
      </c>
      <c r="DZ102">
        <v>0.9</v>
      </c>
      <c r="EA102">
        <v>0.7</v>
      </c>
      <c r="EB102">
        <v>1.494866</v>
      </c>
    </row>
    <row r="103" spans="1:132" ht="18">
      <c r="A103" s="14" t="s">
        <v>154</v>
      </c>
      <c r="B103" s="14">
        <v>11</v>
      </c>
      <c r="C103" s="14" t="s">
        <v>133</v>
      </c>
      <c r="D103" s="14" t="s">
        <v>134</v>
      </c>
      <c r="E103" s="14" t="s">
        <v>145</v>
      </c>
      <c r="F103" s="15">
        <v>3823.7</v>
      </c>
      <c r="G103" s="15">
        <v>3.5824838110477022</v>
      </c>
      <c r="H103" s="15">
        <v>3823.7</v>
      </c>
      <c r="I103" s="15">
        <v>0</v>
      </c>
      <c r="J103" s="16">
        <v>0</v>
      </c>
      <c r="K103" s="16"/>
      <c r="L103" s="17">
        <v>0.13079588562671673</v>
      </c>
      <c r="M103" s="18">
        <v>130</v>
      </c>
      <c r="N103" s="18">
        <v>64</v>
      </c>
      <c r="O103" s="18">
        <v>0.86177514792899435</v>
      </c>
      <c r="P103" s="18">
        <v>3</v>
      </c>
      <c r="Q103" s="18">
        <f t="shared" si="43"/>
        <v>2.3333333333333335</v>
      </c>
      <c r="R103" s="18">
        <v>130</v>
      </c>
      <c r="S103" s="18">
        <v>5</v>
      </c>
      <c r="T103" s="19">
        <v>12008</v>
      </c>
      <c r="U103" s="19">
        <v>4.0794706792352136</v>
      </c>
      <c r="V103" s="20">
        <v>40679</v>
      </c>
      <c r="W103" s="20">
        <v>4.6093702682472673</v>
      </c>
      <c r="X103" s="20">
        <v>0.57787595533710256</v>
      </c>
      <c r="Y103" s="20">
        <v>0.49081329699999998</v>
      </c>
      <c r="Z103" s="20">
        <f t="shared" si="27"/>
        <v>-0.30908367998028152</v>
      </c>
      <c r="AA103" s="20">
        <v>0.13548992030000001</v>
      </c>
      <c r="AB103" s="20">
        <v>541.29999999999995</v>
      </c>
      <c r="AC103" s="20"/>
      <c r="AD103" s="21">
        <v>171.9</v>
      </c>
      <c r="AE103" s="21">
        <f t="shared" si="35"/>
        <v>5.880119449546934E-3</v>
      </c>
      <c r="AF103" s="21">
        <f t="shared" si="36"/>
        <v>2.2352758766870524</v>
      </c>
      <c r="AG103" s="22">
        <v>2.3260507421128066E-2</v>
      </c>
      <c r="AH103" s="22">
        <v>680</v>
      </c>
      <c r="AI103" s="22">
        <v>3.052479124</v>
      </c>
      <c r="AJ103" s="22">
        <v>70394</v>
      </c>
      <c r="AK103" s="23">
        <f t="shared" si="37"/>
        <v>4.8475356438304793</v>
      </c>
      <c r="AL103" s="24">
        <v>0.55493936700000002</v>
      </c>
      <c r="AM103" s="22">
        <f>2114.3+6194.3</f>
        <v>8308.6</v>
      </c>
      <c r="AN103" s="22">
        <f>AM103/AR103</f>
        <v>0.28420919405762451</v>
      </c>
      <c r="AO103" s="23">
        <v>0.1326530612244898</v>
      </c>
      <c r="AP103" s="33">
        <v>1.6723691999999998E-2</v>
      </c>
      <c r="AQ103" s="23">
        <v>0.22333216055667346</v>
      </c>
      <c r="AR103" s="22">
        <v>29234.1</v>
      </c>
      <c r="AS103" s="23">
        <v>4.4658897282040799</v>
      </c>
      <c r="AT103" s="23">
        <v>4.4290672014330115</v>
      </c>
      <c r="AU103" s="22">
        <v>0.16800000000000001</v>
      </c>
      <c r="AV103" s="22">
        <v>1.372325018E-2</v>
      </c>
      <c r="AW103" s="22">
        <v>63.86</v>
      </c>
      <c r="AX103" s="22">
        <v>48.66</v>
      </c>
      <c r="AY103" s="22">
        <v>2</v>
      </c>
      <c r="AZ103" s="24">
        <v>21638.400000000001</v>
      </c>
      <c r="BA103" s="24">
        <f t="shared" si="29"/>
        <v>4.3352251447496561</v>
      </c>
      <c r="BB103" s="24">
        <v>6388.3</v>
      </c>
      <c r="BC103" s="24">
        <f t="shared" si="30"/>
        <v>3.8053853027834923</v>
      </c>
      <c r="BD103" s="24">
        <v>15250.100000000002</v>
      </c>
      <c r="BE103" s="22">
        <v>2870.4</v>
      </c>
      <c r="BF103" s="22">
        <f t="shared" si="46"/>
        <v>214.75</v>
      </c>
      <c r="BG103" s="23">
        <v>0.17595968700069645</v>
      </c>
      <c r="BH103" s="23">
        <v>9.8186706620008835E-2</v>
      </c>
      <c r="BI103" s="23">
        <v>9.0883027522935783E-2</v>
      </c>
      <c r="BJ103" s="23">
        <v>2.940285676664384E-2</v>
      </c>
      <c r="BK103" s="23">
        <v>8.0363510064955207E-2</v>
      </c>
      <c r="BL103" s="22">
        <v>2440.9</v>
      </c>
      <c r="BM103" s="22">
        <v>3398.7</v>
      </c>
      <c r="BN103" s="22">
        <f t="shared" si="44"/>
        <v>247.25</v>
      </c>
      <c r="BO103" s="22">
        <v>3.531312831516094</v>
      </c>
      <c r="BP103" s="22">
        <v>0.15706799023957407</v>
      </c>
      <c r="BQ103" s="22">
        <v>7.15352704953226E-3</v>
      </c>
      <c r="BR103" s="22">
        <v>1.3345472901646865E-2</v>
      </c>
      <c r="BS103" s="22">
        <v>-889.3</v>
      </c>
      <c r="BT103" s="22">
        <v>2.949048292315664</v>
      </c>
      <c r="BU103" s="22">
        <v>3.0419954778837043E-2</v>
      </c>
      <c r="BV103" s="23">
        <v>2810.5</v>
      </c>
      <c r="BW103" s="22">
        <v>287.10000000000002</v>
      </c>
      <c r="BX103" s="22">
        <v>104.9</v>
      </c>
      <c r="BY103" s="22">
        <v>2.020775488193558</v>
      </c>
      <c r="BZ103" s="25">
        <v>0.2998760842627014</v>
      </c>
      <c r="CA103" s="23">
        <v>0.17432835602419061</v>
      </c>
      <c r="CB103" s="23">
        <v>17.432835602419061</v>
      </c>
      <c r="CC103" s="23">
        <v>1.2413680346327725</v>
      </c>
      <c r="CD103" s="23">
        <v>0.34077807684732797</v>
      </c>
      <c r="CE103" s="23">
        <v>0.1398225738364694</v>
      </c>
      <c r="CF103" s="23">
        <v>1.3430951779853573</v>
      </c>
      <c r="CG103" s="23">
        <f t="shared" si="31"/>
        <v>0.29497678471377348</v>
      </c>
      <c r="CH103" s="26">
        <v>18.02</v>
      </c>
      <c r="CI103" s="26">
        <v>23.4</v>
      </c>
      <c r="CJ103" s="26">
        <v>1.2557547866430441</v>
      </c>
      <c r="CK103" s="26">
        <v>1.3692158574101427</v>
      </c>
      <c r="CL103" s="26">
        <v>-0.22991452991452987</v>
      </c>
      <c r="CM103" s="27">
        <v>18.608429118773955</v>
      </c>
      <c r="CN103" s="27">
        <v>-0.26379058716672099</v>
      </c>
      <c r="CO103" s="27">
        <v>10.244782608695646</v>
      </c>
      <c r="CP103" s="27">
        <v>-0.28825696259759365</v>
      </c>
      <c r="CQ103" s="27">
        <v>71.254230769230816</v>
      </c>
      <c r="CR103" s="27">
        <v>-0.24593768180670883</v>
      </c>
      <c r="CS103" s="27">
        <v>0.83494252873563157</v>
      </c>
      <c r="CT103" s="27">
        <v>1.0720384615384604</v>
      </c>
      <c r="CU103" s="27">
        <v>-0.22116364413136569</v>
      </c>
      <c r="CV103" s="27">
        <v>0.95088122605364045</v>
      </c>
      <c r="CW103" s="27">
        <v>1.9781262728880398</v>
      </c>
      <c r="CX103" s="28">
        <v>0.54</v>
      </c>
      <c r="CY103" s="28">
        <v>0.92</v>
      </c>
      <c r="CZ103" s="29">
        <v>24.56237548</v>
      </c>
      <c r="DA103" s="27">
        <v>-0.18114392008251654</v>
      </c>
      <c r="DB103" s="27">
        <v>1.7682050254071211</v>
      </c>
      <c r="DC103" s="27">
        <v>1.9709466682529033</v>
      </c>
      <c r="DD103" s="27">
        <v>1</v>
      </c>
      <c r="DE103" s="27">
        <v>2</v>
      </c>
      <c r="DF103" s="27">
        <v>102.2</v>
      </c>
      <c r="DG103" s="28">
        <v>4.6269316777696039</v>
      </c>
      <c r="DH103" s="27">
        <v>1.0259199999999999</v>
      </c>
      <c r="DI103" s="27">
        <v>1.6</v>
      </c>
      <c r="DJ103" s="27">
        <v>1.3</v>
      </c>
      <c r="DK103" s="27">
        <v>1.9</v>
      </c>
      <c r="DL103" s="27">
        <v>1.6829215601661535E-2</v>
      </c>
      <c r="DM103" s="27">
        <v>0.75800000000000001</v>
      </c>
      <c r="DN103" s="28">
        <v>0.74839999999999995</v>
      </c>
      <c r="DO103" s="28">
        <v>7.3744619799139169E-2</v>
      </c>
      <c r="DP103" s="28">
        <f t="shared" si="45"/>
        <v>-1.7371013741249636E-2</v>
      </c>
      <c r="DQ103" s="27">
        <v>8.4699999999999998E-2</v>
      </c>
      <c r="DR103" s="27">
        <v>2.0079372103467861E-2</v>
      </c>
      <c r="DS103" s="27">
        <v>1.50675227484701E-2</v>
      </c>
      <c r="DT103" s="27">
        <v>2.4180879115385762E-2</v>
      </c>
      <c r="DU103" s="30">
        <v>8.0652849999999994</v>
      </c>
      <c r="DV103">
        <v>0.9</v>
      </c>
      <c r="DW103">
        <v>1.4</v>
      </c>
      <c r="DX103">
        <v>103.9</v>
      </c>
      <c r="DY103">
        <v>103.8</v>
      </c>
      <c r="DZ103">
        <v>0.1</v>
      </c>
      <c r="EA103">
        <v>0</v>
      </c>
      <c r="EB103">
        <v>1.826854</v>
      </c>
    </row>
    <row r="104" spans="1:132" ht="18">
      <c r="A104" s="14" t="s">
        <v>154</v>
      </c>
      <c r="B104" s="14">
        <v>12</v>
      </c>
      <c r="C104" s="14" t="s">
        <v>133</v>
      </c>
      <c r="D104" s="14" t="s">
        <v>134</v>
      </c>
      <c r="E104" s="14" t="s">
        <v>145</v>
      </c>
      <c r="F104" s="15">
        <v>3678.2</v>
      </c>
      <c r="G104" s="15">
        <v>3.565635340055644</v>
      </c>
      <c r="H104" s="15">
        <v>3678.2</v>
      </c>
      <c r="I104" s="15">
        <v>0</v>
      </c>
      <c r="J104" s="16">
        <v>0</v>
      </c>
      <c r="K104" s="16"/>
      <c r="L104" s="17">
        <v>0.1191169374556736</v>
      </c>
      <c r="M104" s="18">
        <v>130</v>
      </c>
      <c r="N104" s="18">
        <v>64</v>
      </c>
      <c r="O104" s="18">
        <v>0.86177514792899435</v>
      </c>
      <c r="P104" s="18">
        <v>3</v>
      </c>
      <c r="Q104" s="18">
        <f t="shared" si="43"/>
        <v>2.3333333333333335</v>
      </c>
      <c r="R104" s="18">
        <v>130</v>
      </c>
      <c r="S104" s="18">
        <v>5</v>
      </c>
      <c r="T104" s="19">
        <v>12138</v>
      </c>
      <c r="U104" s="19">
        <v>4.0841471331544481</v>
      </c>
      <c r="V104" s="20">
        <v>44453</v>
      </c>
      <c r="W104" s="20">
        <v>4.6479010755307737</v>
      </c>
      <c r="X104" s="20">
        <v>0.59288057830296892</v>
      </c>
      <c r="Y104" s="20">
        <v>0.49085423230000003</v>
      </c>
      <c r="Z104" s="20">
        <f t="shared" si="27"/>
        <v>-0.30904746002925992</v>
      </c>
      <c r="AA104" s="20">
        <v>0.64042089989999995</v>
      </c>
      <c r="AB104" s="20">
        <v>593.20000000000005</v>
      </c>
      <c r="AC104" s="20"/>
      <c r="AD104" s="21">
        <v>314.2</v>
      </c>
      <c r="AE104" s="21">
        <f t="shared" si="35"/>
        <v>1.0175232926043349E-2</v>
      </c>
      <c r="AF104" s="21">
        <f t="shared" si="36"/>
        <v>2.4972061807039547</v>
      </c>
      <c r="AG104" s="22">
        <v>2.4223660816933244E-2</v>
      </c>
      <c r="AH104" s="22">
        <v>748</v>
      </c>
      <c r="AI104" s="22">
        <v>3.4178557230000002</v>
      </c>
      <c r="AJ104" s="22">
        <v>74978</v>
      </c>
      <c r="AK104" s="23">
        <f t="shared" si="37"/>
        <v>4.8749338516557064</v>
      </c>
      <c r="AL104" s="24">
        <v>0.54863000699999998</v>
      </c>
      <c r="AM104" s="22">
        <f>1928.6+6307.6</f>
        <v>8236.2000000000007</v>
      </c>
      <c r="AN104" s="22">
        <f t="shared" ref="AN104" si="47">AM104/AR104</f>
        <v>0.2667258224872</v>
      </c>
      <c r="AO104" s="23">
        <v>0.13385342746856382</v>
      </c>
      <c r="AP104" s="33">
        <v>7.2558978999999996E-2</v>
      </c>
      <c r="AQ104" s="23">
        <v>0.86069116300207027</v>
      </c>
      <c r="AR104" s="22">
        <v>30878.9</v>
      </c>
      <c r="AS104" s="23">
        <v>4.4896618210536277</v>
      </c>
      <c r="AT104" s="23">
        <v>4.4658897282040799</v>
      </c>
      <c r="AU104" s="22">
        <v>0.159</v>
      </c>
      <c r="AV104" s="22">
        <v>1.498431771E-2</v>
      </c>
      <c r="AW104" s="22">
        <v>77.37</v>
      </c>
      <c r="AX104" s="22">
        <v>63.86</v>
      </c>
      <c r="AY104" s="22">
        <v>2</v>
      </c>
      <c r="AZ104" s="24">
        <v>22124.2</v>
      </c>
      <c r="BA104" s="24">
        <f t="shared" si="29"/>
        <v>4.3448675757826543</v>
      </c>
      <c r="BB104" s="24">
        <v>6379.4</v>
      </c>
      <c r="BC104" s="24">
        <f t="shared" si="30"/>
        <v>3.8047798340592922</v>
      </c>
      <c r="BD104" s="24">
        <v>15744.800000000001</v>
      </c>
      <c r="BE104" s="22">
        <v>2961.4</v>
      </c>
      <c r="BF104" s="22">
        <f t="shared" si="46"/>
        <v>45.5</v>
      </c>
      <c r="BG104" s="23">
        <v>3.170289855072464E-2</v>
      </c>
      <c r="BH104" s="23">
        <v>9.5903675325222079E-2</v>
      </c>
      <c r="BI104" s="23">
        <v>9.8186706620008835E-2</v>
      </c>
      <c r="BJ104" s="23">
        <v>2.940285676664384E-2</v>
      </c>
      <c r="BK104" s="23">
        <v>-2.3251938815121751E-2</v>
      </c>
      <c r="BL104" s="22">
        <v>2870.4</v>
      </c>
      <c r="BM104" s="22">
        <v>3690.3</v>
      </c>
      <c r="BN104" s="22">
        <f t="shared" si="44"/>
        <v>145.80000000000018</v>
      </c>
      <c r="BO104" s="22">
        <v>3.5670616732182974</v>
      </c>
      <c r="BP104" s="22">
        <v>0.16679925149835925</v>
      </c>
      <c r="BQ104" s="22">
        <v>4.8656306293925894E-3</v>
      </c>
      <c r="BR104" s="22">
        <v>7.15352704953226E-3</v>
      </c>
      <c r="BS104" s="22">
        <v>-1557.2</v>
      </c>
      <c r="BT104" s="22">
        <v>3.1923443950461241</v>
      </c>
      <c r="BU104" s="22">
        <v>5.0429257518888299E-2</v>
      </c>
      <c r="BV104" s="23">
        <v>3190.6</v>
      </c>
      <c r="BW104" s="22">
        <v>339.2</v>
      </c>
      <c r="BX104" s="22">
        <v>127.7</v>
      </c>
      <c r="BY104" s="22">
        <v>2.1061908972634154</v>
      </c>
      <c r="BZ104" s="25">
        <v>0.21734985700667298</v>
      </c>
      <c r="CA104" s="23">
        <v>0.1398225738364694</v>
      </c>
      <c r="CB104" s="23">
        <v>13.982257383646941</v>
      </c>
      <c r="CC104" s="23">
        <v>1.1455772923051313</v>
      </c>
      <c r="CD104" s="23">
        <v>0.17432835602419061</v>
      </c>
      <c r="CE104" s="23">
        <v>0.35110437850535026</v>
      </c>
      <c r="CF104" s="23">
        <v>1.3299565846599131</v>
      </c>
      <c r="CG104" s="23">
        <f t="shared" si="31"/>
        <v>0.2851462985880171</v>
      </c>
      <c r="CH104" s="26">
        <v>13.72</v>
      </c>
      <c r="CI104" s="26">
        <v>18.02</v>
      </c>
      <c r="CJ104" s="26">
        <v>1.1373541113707328</v>
      </c>
      <c r="CK104" s="26">
        <v>1.2557547866430441</v>
      </c>
      <c r="CL104" s="26">
        <v>-0.23862375138734734</v>
      </c>
      <c r="CM104" s="27">
        <v>14.834099616858232</v>
      </c>
      <c r="CN104" s="27">
        <v>-0.20282902322516949</v>
      </c>
      <c r="CO104" s="27">
        <v>8.3248809523809495</v>
      </c>
      <c r="CP104" s="27">
        <v>-0.18740286930882333</v>
      </c>
      <c r="CQ104" s="27">
        <v>73.031538461538446</v>
      </c>
      <c r="CR104" s="27">
        <v>2.494318825872599E-2</v>
      </c>
      <c r="CS104" s="27">
        <v>0.8023754789272034</v>
      </c>
      <c r="CT104" s="27">
        <v>0.83494252873563157</v>
      </c>
      <c r="CU104" s="27">
        <v>-3.9005139500733109E-2</v>
      </c>
      <c r="CV104" s="27">
        <v>0.96896551724137914</v>
      </c>
      <c r="CW104" s="27">
        <v>1.9863083220061237</v>
      </c>
      <c r="CX104" s="28">
        <v>0.62</v>
      </c>
      <c r="CY104" s="28">
        <v>0.54</v>
      </c>
      <c r="CZ104" s="29">
        <v>18.565019159999999</v>
      </c>
      <c r="DA104" s="27">
        <v>-0.24416841623821645</v>
      </c>
      <c r="DB104" s="27">
        <v>1.1698744465812936</v>
      </c>
      <c r="DC104" s="27">
        <v>1.7682050254071211</v>
      </c>
      <c r="DD104" s="27">
        <v>1</v>
      </c>
      <c r="DE104" s="27">
        <v>2</v>
      </c>
      <c r="DF104" s="27">
        <v>103</v>
      </c>
      <c r="DG104" s="28">
        <v>4.6347289882296359</v>
      </c>
      <c r="DH104" s="27">
        <v>1.0334399999999999</v>
      </c>
      <c r="DI104" s="27">
        <v>1.6</v>
      </c>
      <c r="DJ104" s="27">
        <v>1.4</v>
      </c>
      <c r="DK104" s="27">
        <v>1.3</v>
      </c>
      <c r="DL104" s="27">
        <v>1.2152522197973097E-2</v>
      </c>
      <c r="DM104" s="27">
        <v>0.72770000000000001</v>
      </c>
      <c r="DN104" s="28">
        <v>0.77380000000000004</v>
      </c>
      <c r="DO104" s="28">
        <v>3.3939070016034328E-2</v>
      </c>
      <c r="DP104" s="28">
        <f>(DM104-DM103)/DM103</f>
        <v>-3.9973614775725586E-2</v>
      </c>
      <c r="DQ104" s="27">
        <v>5.8499999999999996E-2</v>
      </c>
      <c r="DR104" s="27">
        <v>1.50675227484701E-2</v>
      </c>
      <c r="DS104" s="27">
        <v>3.1335239457349999E-2</v>
      </c>
      <c r="DT104" s="27">
        <v>2.0079372103467861E-2</v>
      </c>
      <c r="DU104" s="30">
        <v>7.3719619999999999</v>
      </c>
      <c r="DV104">
        <v>1.5</v>
      </c>
      <c r="DW104">
        <v>2.1</v>
      </c>
      <c r="DX104">
        <v>105.4</v>
      </c>
      <c r="DY104">
        <v>105.7</v>
      </c>
      <c r="DZ104">
        <v>0.2</v>
      </c>
      <c r="EA104">
        <v>0.8</v>
      </c>
      <c r="EB104">
        <v>1.343728</v>
      </c>
    </row>
    <row r="105" spans="1:132" ht="18">
      <c r="A105" s="14" t="s">
        <v>154</v>
      </c>
      <c r="B105" s="14">
        <v>13</v>
      </c>
      <c r="C105" s="14" t="s">
        <v>133</v>
      </c>
      <c r="D105" s="14" t="s">
        <v>134</v>
      </c>
      <c r="E105" s="14" t="s">
        <v>145</v>
      </c>
      <c r="F105" s="15">
        <v>2803.6</v>
      </c>
      <c r="G105" s="15">
        <v>3.4477160513115068</v>
      </c>
      <c r="H105" s="15">
        <v>2803.6</v>
      </c>
      <c r="I105" s="15">
        <v>0</v>
      </c>
      <c r="J105" s="16">
        <v>0</v>
      </c>
      <c r="K105" s="16"/>
      <c r="L105" s="17">
        <v>8.7440351807379219E-2</v>
      </c>
      <c r="M105" s="18">
        <v>130</v>
      </c>
      <c r="N105" s="18">
        <v>64</v>
      </c>
      <c r="O105" s="18">
        <v>0.86177514792899435</v>
      </c>
      <c r="P105" s="18">
        <v>3</v>
      </c>
      <c r="Q105" s="18">
        <f t="shared" si="43"/>
        <v>2.3333333333333335</v>
      </c>
      <c r="R105" s="18">
        <v>130</v>
      </c>
      <c r="S105" s="18">
        <v>5</v>
      </c>
      <c r="T105" s="19">
        <v>12375.1</v>
      </c>
      <c r="U105" s="19">
        <v>4.0925487170417858</v>
      </c>
      <c r="V105" s="20">
        <v>47531</v>
      </c>
      <c r="W105" s="20">
        <v>4.676976951469455</v>
      </c>
      <c r="X105" s="20">
        <v>0.60463548358372243</v>
      </c>
      <c r="Y105" s="20">
        <v>0.52819718130000004</v>
      </c>
      <c r="Z105" s="20">
        <f t="shared" si="27"/>
        <v>-0.27720392071546812</v>
      </c>
      <c r="AA105" s="20">
        <v>0.30210571549999998</v>
      </c>
      <c r="AB105" s="20">
        <v>557.29999999999995</v>
      </c>
      <c r="AC105" s="20"/>
      <c r="AD105" s="21">
        <v>737.7</v>
      </c>
      <c r="AE105" s="21">
        <f t="shared" si="35"/>
        <v>2.3007828337959644E-2</v>
      </c>
      <c r="AF105" s="21">
        <f t="shared" si="36"/>
        <v>2.8678797834583798</v>
      </c>
      <c r="AG105" s="22">
        <v>2.3703334061067272E-2</v>
      </c>
      <c r="AH105" s="22">
        <v>760</v>
      </c>
      <c r="AI105" s="22">
        <v>3.8731539599999998</v>
      </c>
      <c r="AJ105" s="22">
        <v>78611</v>
      </c>
      <c r="AK105" s="23">
        <f t="shared" si="37"/>
        <v>4.8954833209127786</v>
      </c>
      <c r="AL105" s="24">
        <v>0.54922332699999998</v>
      </c>
      <c r="AM105" s="22">
        <f>2595.6+9278.7</f>
        <v>11874.300000000001</v>
      </c>
      <c r="AN105" s="22">
        <f>AM105/AR105</f>
        <v>0.37034276268596206</v>
      </c>
      <c r="AO105" s="23">
        <v>0.21785016864903251</v>
      </c>
      <c r="AP105" s="33">
        <v>7.1126720000000004E-2</v>
      </c>
      <c r="AQ105" s="23">
        <v>0.8520327817226625</v>
      </c>
      <c r="AR105" s="22">
        <v>32063</v>
      </c>
      <c r="AS105" s="23">
        <v>4.5060041550265835</v>
      </c>
      <c r="AT105" s="23">
        <v>4.4896618210536277</v>
      </c>
      <c r="AU105" s="22">
        <v>0.29899999999999999</v>
      </c>
      <c r="AV105" s="22">
        <v>0.12822824760000001</v>
      </c>
      <c r="AW105" s="22">
        <v>78.180000000000007</v>
      </c>
      <c r="AX105" s="22">
        <v>77.37</v>
      </c>
      <c r="AY105" s="22">
        <v>2</v>
      </c>
      <c r="AZ105" s="24">
        <v>22532</v>
      </c>
      <c r="BA105" s="24">
        <f t="shared" si="29"/>
        <v>4.3527997425633131</v>
      </c>
      <c r="BB105" s="24">
        <v>6500.7</v>
      </c>
      <c r="BC105" s="24">
        <f t="shared" si="30"/>
        <v>3.8129601242996167</v>
      </c>
      <c r="BD105" s="24">
        <v>16031.3</v>
      </c>
      <c r="BE105" s="22">
        <v>4908.6000000000004</v>
      </c>
      <c r="BF105" s="22">
        <f t="shared" si="46"/>
        <v>973.60000000000139</v>
      </c>
      <c r="BG105" s="23">
        <v>0.6575268454109543</v>
      </c>
      <c r="BH105" s="23">
        <v>0.15309234943704583</v>
      </c>
      <c r="BI105" s="23">
        <v>9.5903675325222079E-2</v>
      </c>
      <c r="BJ105" s="23">
        <v>2.940285676664384E-2</v>
      </c>
      <c r="BK105" s="23">
        <v>0.5963136857674054</v>
      </c>
      <c r="BL105" s="22">
        <v>2961.4</v>
      </c>
      <c r="BM105" s="22">
        <v>3864.1</v>
      </c>
      <c r="BN105" s="22">
        <f>STDEVP(BM104:BM105)</f>
        <v>86.899999999999864</v>
      </c>
      <c r="BO105" s="22">
        <v>3.5870483571032445</v>
      </c>
      <c r="BP105" s="22">
        <v>0.17149387537724126</v>
      </c>
      <c r="BQ105" s="22">
        <v>2.3473119394410019E-3</v>
      </c>
      <c r="BR105" s="22">
        <v>4.8656306293925894E-3</v>
      </c>
      <c r="BS105" s="22">
        <v>649.6</v>
      </c>
      <c r="BT105" s="22"/>
      <c r="BU105" s="22">
        <v>-2.0260112902722765E-2</v>
      </c>
      <c r="BV105" s="23">
        <v>4669.1000000000004</v>
      </c>
      <c r="BW105" s="22">
        <v>2588.3000000000002</v>
      </c>
      <c r="BX105" s="22">
        <v>139.30000000000001</v>
      </c>
      <c r="BY105" s="22">
        <v>2.1439511164239633</v>
      </c>
      <c r="BZ105" s="25">
        <v>9.0837901331245169E-2</v>
      </c>
      <c r="CA105" s="23">
        <v>0.35110437850535026</v>
      </c>
      <c r="CB105" s="23">
        <v>35.110437850535028</v>
      </c>
      <c r="CC105" s="23">
        <v>1.5454362454404458</v>
      </c>
      <c r="CD105" s="23">
        <v>0.1398225738364694</v>
      </c>
      <c r="CE105" s="23">
        <v>0.21517062000000001</v>
      </c>
      <c r="CF105" s="23">
        <v>1.2256656481885639</v>
      </c>
      <c r="CG105" s="23">
        <f t="shared" si="31"/>
        <v>0.20348408269220622</v>
      </c>
      <c r="CH105" s="26">
        <v>19.2</v>
      </c>
      <c r="CI105" s="26">
        <v>13.72</v>
      </c>
      <c r="CJ105" s="26">
        <v>1.2833012287035497</v>
      </c>
      <c r="CK105" s="26">
        <v>1.1373541113707328</v>
      </c>
      <c r="CL105" s="26">
        <v>0.39941690962099113</v>
      </c>
      <c r="CM105" s="27">
        <v>14.883180076628348</v>
      </c>
      <c r="CN105" s="27">
        <v>3.3086241186042575E-3</v>
      </c>
      <c r="CO105" s="27">
        <v>6.9159523809523806</v>
      </c>
      <c r="CP105" s="27">
        <v>-0.16924308941926786</v>
      </c>
      <c r="CQ105" s="27">
        <v>64.583076923076902</v>
      </c>
      <c r="CR105" s="27">
        <v>-0.11568237115682381</v>
      </c>
      <c r="CS105" s="27">
        <v>0.66574712643678124</v>
      </c>
      <c r="CT105" s="27">
        <v>0.8023754789272034</v>
      </c>
      <c r="CU105" s="27">
        <v>-0.1702798204564997</v>
      </c>
      <c r="CV105" s="27">
        <v>0.67685823754789287</v>
      </c>
      <c r="CW105" s="27">
        <v>1.8304977187626064</v>
      </c>
      <c r="CX105" s="28">
        <v>1.33</v>
      </c>
      <c r="CY105" s="28">
        <v>0.62</v>
      </c>
      <c r="CZ105" s="29">
        <v>18.278045980000002</v>
      </c>
      <c r="DA105" s="27">
        <v>-1.5457736807420394E-2</v>
      </c>
      <c r="DC105" s="27">
        <v>1.1698744465812936</v>
      </c>
      <c r="DD105" s="27">
        <v>1</v>
      </c>
      <c r="DE105" s="27">
        <v>1.5</v>
      </c>
      <c r="DF105" s="27">
        <v>104</v>
      </c>
      <c r="DG105" s="28">
        <v>4.6443908991413725</v>
      </c>
      <c r="DH105" s="27">
        <v>1.0435000000000001</v>
      </c>
      <c r="DI105" s="27">
        <v>1.6</v>
      </c>
      <c r="DJ105" s="27">
        <v>0.7</v>
      </c>
      <c r="DK105" s="27">
        <v>1</v>
      </c>
      <c r="DL105" s="27">
        <v>1.7108786898118553E-2</v>
      </c>
      <c r="DM105" s="27">
        <v>0.8266</v>
      </c>
      <c r="DN105" s="28">
        <v>0.75860000000000005</v>
      </c>
      <c r="DO105" s="28">
        <v>-1.9643318686999211E-2</v>
      </c>
      <c r="DP105" s="28">
        <f t="shared" si="45"/>
        <v>0.13590765425312626</v>
      </c>
      <c r="DQ105" s="27">
        <v>0.10860000000000003</v>
      </c>
      <c r="DR105" s="27">
        <v>3.1335239457349999E-2</v>
      </c>
      <c r="DS105" s="27">
        <v>2.7611694356583942E-2</v>
      </c>
      <c r="DT105" s="27">
        <v>1.50675227484701E-2</v>
      </c>
      <c r="DU105" s="30">
        <v>6.1553740000000001</v>
      </c>
      <c r="DV105">
        <v>1.6</v>
      </c>
      <c r="DW105">
        <v>2.2999999999999998</v>
      </c>
      <c r="DX105">
        <v>107</v>
      </c>
      <c r="DY105">
        <v>107.5</v>
      </c>
      <c r="DZ105">
        <v>0.4</v>
      </c>
      <c r="EA105">
        <v>1.1000000000000001</v>
      </c>
      <c r="EB105">
        <v>1.4054869999999999</v>
      </c>
    </row>
    <row r="106" spans="1:132" ht="18">
      <c r="A106" s="14" t="s">
        <v>155</v>
      </c>
      <c r="B106" s="14">
        <v>1</v>
      </c>
      <c r="C106" s="14" t="s">
        <v>137</v>
      </c>
      <c r="D106" s="14" t="s">
        <v>138</v>
      </c>
      <c r="E106" s="14" t="s">
        <v>156</v>
      </c>
      <c r="F106" s="15">
        <v>13732</v>
      </c>
      <c r="G106" s="15">
        <v>4.1377337947537125</v>
      </c>
      <c r="H106" s="15">
        <v>11118</v>
      </c>
      <c r="I106" s="15">
        <v>2614</v>
      </c>
      <c r="J106" s="16">
        <v>0</v>
      </c>
      <c r="K106" s="16">
        <v>1</v>
      </c>
      <c r="L106" s="17">
        <v>0.58867406867578342</v>
      </c>
      <c r="M106" s="18">
        <v>120</v>
      </c>
      <c r="N106" s="18">
        <v>10</v>
      </c>
      <c r="O106" s="18">
        <v>0.86419753086419759</v>
      </c>
      <c r="P106" s="18">
        <v>3</v>
      </c>
      <c r="Q106" s="18">
        <f>(3+3+2)/3</f>
        <v>2.6666666666666665</v>
      </c>
      <c r="R106" s="18">
        <v>120</v>
      </c>
      <c r="S106" s="18">
        <v>5</v>
      </c>
      <c r="T106" s="19">
        <v>24703</v>
      </c>
      <c r="U106" s="19">
        <v>4.3927496983742262</v>
      </c>
      <c r="V106" s="20">
        <v>14884</v>
      </c>
      <c r="W106" s="20">
        <v>4.1727196613494968</v>
      </c>
      <c r="X106" s="20">
        <v>0.28235383389611868</v>
      </c>
      <c r="Y106" s="20">
        <v>0.53437309399999999</v>
      </c>
      <c r="Z106" s="20">
        <f t="shared" si="27"/>
        <v>-0.27215541696496148</v>
      </c>
      <c r="AA106" s="20"/>
      <c r="AB106" s="20"/>
      <c r="AC106" s="20">
        <v>6133</v>
      </c>
      <c r="AE106" s="21"/>
      <c r="AF106" s="21"/>
      <c r="AG106" s="22">
        <v>0.13083551249624897</v>
      </c>
      <c r="AH106" s="22">
        <v>3052</v>
      </c>
      <c r="AI106" s="22">
        <v>5.076675303</v>
      </c>
      <c r="AJ106" s="22">
        <v>52714</v>
      </c>
      <c r="AK106" s="23">
        <f t="shared" si="37"/>
        <v>4.7219259722387932</v>
      </c>
      <c r="AL106" s="24">
        <v>0.82299440300000004</v>
      </c>
      <c r="AM106" s="22">
        <v>8873</v>
      </c>
      <c r="AN106" s="22">
        <f t="shared" ref="AN106:AN128" si="48">AM106/AR106</f>
        <v>0.38037467312556267</v>
      </c>
      <c r="AO106" s="23">
        <v>0.11263992537313433</v>
      </c>
      <c r="AP106" s="23">
        <v>2.1053379377279195E-2</v>
      </c>
      <c r="AQ106" s="23">
        <v>0.32332181642389685</v>
      </c>
      <c r="AR106" s="22">
        <v>23327</v>
      </c>
      <c r="AS106" s="23">
        <v>4.367858889362906</v>
      </c>
      <c r="AT106" s="23">
        <v>4.3687699000000002</v>
      </c>
      <c r="AU106" s="22">
        <v>0.621</v>
      </c>
      <c r="AV106" s="22">
        <v>0.24634129260000001</v>
      </c>
      <c r="AW106" s="22">
        <v>72.5</v>
      </c>
      <c r="AX106" s="22"/>
      <c r="AY106" s="22">
        <v>2</v>
      </c>
      <c r="AZ106" s="24">
        <v>30016</v>
      </c>
      <c r="BA106" s="24">
        <f t="shared" si="29"/>
        <v>4.4773528166989705</v>
      </c>
      <c r="BB106" s="24">
        <v>18278</v>
      </c>
      <c r="BC106" s="24">
        <f t="shared" si="30"/>
        <v>4.261928672990642</v>
      </c>
      <c r="BD106" s="24">
        <v>11738</v>
      </c>
      <c r="BE106" s="22">
        <v>3381</v>
      </c>
      <c r="BF106" s="22">
        <v>590.5</v>
      </c>
      <c r="BG106" s="23">
        <v>0.53681818181818186</v>
      </c>
      <c r="BH106" s="23">
        <v>0.14493934067818409</v>
      </c>
      <c r="BI106" s="23">
        <v>8.4861236349063215E-2</v>
      </c>
      <c r="BJ106" s="23">
        <v>9.8223325499991784E-2</v>
      </c>
      <c r="BK106" s="23">
        <v>0.70795697675201363</v>
      </c>
      <c r="BL106" s="22">
        <v>2200</v>
      </c>
      <c r="BM106" s="22">
        <v>5701</v>
      </c>
      <c r="BN106" s="22"/>
      <c r="BO106" s="22">
        <v>3.7559510410041321</v>
      </c>
      <c r="BP106" s="22">
        <v>0.18993203624733476</v>
      </c>
      <c r="BQ106" s="22">
        <v>5.9699434814379455E-2</v>
      </c>
      <c r="BR106" s="22"/>
      <c r="BS106" s="22">
        <v>-3870</v>
      </c>
      <c r="BT106" s="22">
        <v>3.5877109650189114</v>
      </c>
      <c r="BU106" s="22">
        <v>0.1659021734470785</v>
      </c>
      <c r="BV106" s="23">
        <v>5450</v>
      </c>
      <c r="BW106" s="24">
        <v>3518</v>
      </c>
      <c r="BX106" s="22">
        <v>15.15</v>
      </c>
      <c r="BY106" s="22">
        <v>1.1804126328383238</v>
      </c>
      <c r="BZ106" s="25">
        <v>-2.1949644932214324E-2</v>
      </c>
      <c r="CA106" s="23">
        <v>2.9289569919413454</v>
      </c>
      <c r="CB106" s="23">
        <v>292.89569919413452</v>
      </c>
      <c r="CC106" s="23">
        <v>2.466712994658832</v>
      </c>
      <c r="CD106" s="23">
        <v>2.6436985700000002</v>
      </c>
      <c r="CE106" s="23">
        <v>3.9910305202485357</v>
      </c>
      <c r="CF106" s="23">
        <v>2.8807157057654074</v>
      </c>
      <c r="CG106" s="23">
        <f t="shared" si="31"/>
        <v>1.058038772220943</v>
      </c>
      <c r="CH106" s="26">
        <v>28.62</v>
      </c>
      <c r="CI106" s="26">
        <v>23.8</v>
      </c>
      <c r="CJ106" s="26">
        <v>1.4566696294237576</v>
      </c>
      <c r="CK106" s="26">
        <v>1.3765769570565121</v>
      </c>
      <c r="CL106" s="26">
        <v>0.20252100840336135</v>
      </c>
      <c r="CM106" s="27">
        <v>28.164291187739472</v>
      </c>
      <c r="CN106" s="27">
        <v>5.6821432935815153E-2</v>
      </c>
      <c r="CQ106" s="27">
        <v>125.09884615384618</v>
      </c>
      <c r="CR106" s="27">
        <v>0.13726223776223803</v>
      </c>
      <c r="CS106" s="27">
        <v>0.92386973180076593</v>
      </c>
      <c r="CT106" s="27">
        <v>1.0645593900000001</v>
      </c>
      <c r="CU106" s="27">
        <v>-0.12842478132003218</v>
      </c>
      <c r="CX106" s="28">
        <v>0.76</v>
      </c>
      <c r="CY106" s="28">
        <v>0.82</v>
      </c>
      <c r="CZ106" s="29">
        <v>37.275402300000003</v>
      </c>
      <c r="DA106" s="27">
        <v>0.32652677224199295</v>
      </c>
      <c r="DB106" s="27">
        <v>2.5105365885464708</v>
      </c>
      <c r="DC106" s="27">
        <v>1.25643310503606</v>
      </c>
      <c r="DD106" s="27">
        <v>1</v>
      </c>
      <c r="DE106" s="28">
        <v>1.66</v>
      </c>
      <c r="DF106" s="28">
        <v>89.928804</v>
      </c>
      <c r="DG106" s="28">
        <v>4.4990182906052523</v>
      </c>
      <c r="DH106" s="28">
        <v>0.90501299999999996</v>
      </c>
      <c r="DI106" s="28">
        <v>0.379216</v>
      </c>
      <c r="DJ106" s="27">
        <v>4</v>
      </c>
      <c r="DK106" s="27">
        <v>2.2999999999999998</v>
      </c>
      <c r="DL106" s="27">
        <v>1.1731637610823707E-2</v>
      </c>
      <c r="DM106" s="27">
        <v>0.95289999999999997</v>
      </c>
      <c r="DN106" s="28">
        <v>1.1605000000000001</v>
      </c>
      <c r="DO106" s="28">
        <v>9.3264248704663183E-2</v>
      </c>
      <c r="DP106" s="28">
        <f>(DM106-1.1242)/1.1242</f>
        <v>-0.15237502223803603</v>
      </c>
      <c r="DQ106" s="27">
        <v>0.20879999999999999</v>
      </c>
      <c r="DR106" s="27">
        <v>6.0688564775993471E-2</v>
      </c>
      <c r="DS106" s="27">
        <v>3.9305854754660308E-2</v>
      </c>
      <c r="DT106" s="27">
        <v>3.268886E-2</v>
      </c>
      <c r="DU106" s="30">
        <v>5.7817160000000003</v>
      </c>
      <c r="DV106">
        <v>0.9</v>
      </c>
      <c r="DW106">
        <v>2.8</v>
      </c>
      <c r="DX106">
        <v>84</v>
      </c>
      <c r="DY106">
        <v>80.900000000000006</v>
      </c>
      <c r="DZ106">
        <v>2.2000000000000002</v>
      </c>
      <c r="EA106">
        <v>3</v>
      </c>
      <c r="EB106">
        <v>1.701892</v>
      </c>
    </row>
    <row r="107" spans="1:132" ht="18">
      <c r="A107" s="14" t="s">
        <v>155</v>
      </c>
      <c r="B107" s="14">
        <v>2</v>
      </c>
      <c r="C107" s="14" t="s">
        <v>137</v>
      </c>
      <c r="D107" s="14" t="s">
        <v>138</v>
      </c>
      <c r="E107" s="14" t="s">
        <v>156</v>
      </c>
      <c r="F107" s="15">
        <v>15673</v>
      </c>
      <c r="G107" s="15">
        <v>4.1951521335932869</v>
      </c>
      <c r="H107" s="15">
        <v>10271</v>
      </c>
      <c r="I107" s="15">
        <v>5402</v>
      </c>
      <c r="J107" s="16">
        <v>0</v>
      </c>
      <c r="K107" s="16">
        <v>1</v>
      </c>
      <c r="L107" s="17">
        <v>0.65522575250836124</v>
      </c>
      <c r="M107" s="18">
        <v>120</v>
      </c>
      <c r="N107" s="18">
        <v>10</v>
      </c>
      <c r="O107" s="18">
        <v>0.86419753086419759</v>
      </c>
      <c r="P107" s="18">
        <v>3</v>
      </c>
      <c r="Q107" s="18">
        <f t="shared" ref="Q107:Q118" si="49">(3+3+2)/3</f>
        <v>2.6666666666666665</v>
      </c>
      <c r="R107" s="18">
        <v>120</v>
      </c>
      <c r="S107" s="18">
        <v>5</v>
      </c>
      <c r="T107" s="19">
        <v>24178</v>
      </c>
      <c r="U107" s="19">
        <v>4.3834203732456967</v>
      </c>
      <c r="V107" s="20">
        <v>14735</v>
      </c>
      <c r="W107" s="20">
        <v>4.168350140185944</v>
      </c>
      <c r="X107" s="20">
        <v>0.28553434744695283</v>
      </c>
      <c r="Y107" s="20">
        <v>0.51005448239999995</v>
      </c>
      <c r="Z107" s="20">
        <f t="shared" si="27"/>
        <v>-0.29238343146693085</v>
      </c>
      <c r="AA107" s="20"/>
      <c r="AB107" s="20"/>
      <c r="AC107" s="20">
        <v>5149</v>
      </c>
      <c r="AE107" s="21"/>
      <c r="AF107" s="21"/>
      <c r="AG107" s="22">
        <v>0.15719063545150502</v>
      </c>
      <c r="AH107" s="22">
        <v>3760</v>
      </c>
      <c r="AI107" s="22">
        <v>4.3405069980000004</v>
      </c>
      <c r="AJ107" s="22">
        <v>51605</v>
      </c>
      <c r="AK107" s="23">
        <f t="shared" si="37"/>
        <v>4.7126917823870818</v>
      </c>
      <c r="AL107" s="24">
        <v>0.82084535700000005</v>
      </c>
      <c r="AM107" s="22">
        <v>8608</v>
      </c>
      <c r="AN107" s="22">
        <f t="shared" si="48"/>
        <v>0.35986622073578595</v>
      </c>
      <c r="AO107" s="23">
        <v>0.12194873535902223</v>
      </c>
      <c r="AP107" s="33">
        <v>2.4508009999999998E-3</v>
      </c>
      <c r="AQ107" s="23">
        <v>-0.61069195113492891</v>
      </c>
      <c r="AR107" s="22">
        <v>23920</v>
      </c>
      <c r="AS107" s="23">
        <v>4.3787611753163729</v>
      </c>
      <c r="AT107" s="23">
        <v>4.367858889362906</v>
      </c>
      <c r="AU107" s="22">
        <v>0.56799999999999995</v>
      </c>
      <c r="AV107" s="22">
        <v>0.22953525220000001</v>
      </c>
      <c r="AW107" s="22">
        <v>65.75</v>
      </c>
      <c r="AX107" s="22">
        <v>72.5</v>
      </c>
      <c r="AY107" s="22">
        <v>2</v>
      </c>
      <c r="AZ107" s="24">
        <v>29455</v>
      </c>
      <c r="BA107" s="24">
        <f t="shared" si="29"/>
        <v>4.4691590270720125</v>
      </c>
      <c r="BB107" s="24">
        <v>17237</v>
      </c>
      <c r="BC107" s="24">
        <f t="shared" si="30"/>
        <v>4.2364616816268148</v>
      </c>
      <c r="BD107" s="24">
        <v>12218</v>
      </c>
      <c r="BE107" s="22">
        <v>3592</v>
      </c>
      <c r="BF107" s="22">
        <f>STDEVP(BE106:BE107)</f>
        <v>105.5</v>
      </c>
      <c r="BG107" s="23">
        <v>6.2407571724341908E-2</v>
      </c>
      <c r="BH107" s="23">
        <v>0.15016722408026756</v>
      </c>
      <c r="BI107" s="23">
        <v>0.14493934067818409</v>
      </c>
      <c r="BJ107" s="23">
        <v>9.8223325499991784E-2</v>
      </c>
      <c r="BK107" s="23">
        <v>3.6069457592546879E-2</v>
      </c>
      <c r="BL107" s="22">
        <v>3381</v>
      </c>
      <c r="BM107" s="22">
        <v>5252</v>
      </c>
      <c r="BN107" s="22">
        <f>STDEVP(BM106:BM107)</f>
        <v>224.5</v>
      </c>
      <c r="BO107" s="22">
        <v>3.7203247174174416</v>
      </c>
      <c r="BP107" s="22">
        <v>0.17830589034119843</v>
      </c>
      <c r="BQ107" s="22">
        <v>5.8130729530681685E-3</v>
      </c>
      <c r="BR107" s="22">
        <v>5.9699434814379455E-2</v>
      </c>
      <c r="BS107" s="22">
        <v>-3215</v>
      </c>
      <c r="BT107" s="22">
        <v>3.5071809772602407</v>
      </c>
      <c r="BU107" s="22">
        <v>0.13440635451505017</v>
      </c>
      <c r="BV107" s="23">
        <v>5995</v>
      </c>
      <c r="BW107" s="22">
        <v>3477</v>
      </c>
      <c r="BX107" s="22">
        <v>13.71</v>
      </c>
      <c r="BY107" s="22">
        <v>1.1370374547895128</v>
      </c>
      <c r="BZ107" s="25">
        <v>-9.5049504950495009E-2</v>
      </c>
      <c r="CA107" s="23">
        <v>3.9910305202485357</v>
      </c>
      <c r="CB107" s="23">
        <v>399.10305202485358</v>
      </c>
      <c r="CC107" s="23">
        <v>2.6010850489378305</v>
      </c>
      <c r="CD107" s="23">
        <v>2.9289569919413454</v>
      </c>
      <c r="CE107" s="23">
        <v>2.7759121499224668</v>
      </c>
      <c r="CF107" s="23">
        <v>1.5813492063492063</v>
      </c>
      <c r="CG107" s="23">
        <f t="shared" si="31"/>
        <v>0.4582784107188464</v>
      </c>
      <c r="CH107" s="26">
        <v>18.309999999999999</v>
      </c>
      <c r="CI107" s="26">
        <v>28.62</v>
      </c>
      <c r="CJ107" s="26">
        <v>1.2626883443016965</v>
      </c>
      <c r="CK107" s="26">
        <v>1.4566696294237576</v>
      </c>
      <c r="CL107" s="26">
        <v>-0.36023759608665273</v>
      </c>
      <c r="CM107" s="27">
        <v>22.615402298850572</v>
      </c>
      <c r="CN107" s="27">
        <v>-0.19701858825065877</v>
      </c>
      <c r="CQ107" s="27">
        <v>115.89653846153851</v>
      </c>
      <c r="CR107" s="27">
        <v>-7.3560292322686169E-2</v>
      </c>
      <c r="CS107" s="27">
        <v>0.92888888888888932</v>
      </c>
      <c r="CT107" s="27">
        <v>0.92386973180076604</v>
      </c>
      <c r="CU107" s="27">
        <v>5.4327541160378483E-3</v>
      </c>
      <c r="CX107" s="28">
        <v>0.66</v>
      </c>
      <c r="CY107" s="28">
        <v>0.76</v>
      </c>
      <c r="CZ107" s="29">
        <v>31.998965519999999</v>
      </c>
      <c r="DA107" s="27">
        <v>-0.14155277889515908</v>
      </c>
      <c r="DB107" s="27">
        <v>2.6347679627304119</v>
      </c>
      <c r="DC107" s="27">
        <v>2.5105365885464708</v>
      </c>
      <c r="DD107" s="27">
        <v>1</v>
      </c>
      <c r="DE107" s="28">
        <v>1.8</v>
      </c>
      <c r="DF107" s="28">
        <v>90.120939000000007</v>
      </c>
      <c r="DG107" s="28">
        <v>4.5011525349505073</v>
      </c>
      <c r="DH107" s="28">
        <v>0.91512400000000005</v>
      </c>
      <c r="DI107" s="28">
        <v>0.39617000000000002</v>
      </c>
      <c r="DJ107" s="27">
        <v>3.9</v>
      </c>
      <c r="DK107" s="27">
        <v>2</v>
      </c>
      <c r="DL107" s="27">
        <v>1.6216043547496031E-2</v>
      </c>
      <c r="DM107" s="27">
        <v>0.79400000000000004</v>
      </c>
      <c r="DN107" s="28">
        <v>1.1231</v>
      </c>
      <c r="DO107" s="28">
        <v>-3.2227488151658851E-2</v>
      </c>
      <c r="DP107" s="28">
        <f>(DM107-DM106)/DM106</f>
        <v>-0.16675411900514214</v>
      </c>
      <c r="DQ107" s="27">
        <v>0.17130000000000001</v>
      </c>
      <c r="DR107" s="27">
        <v>3.9305854754660308E-2</v>
      </c>
      <c r="DS107" s="27">
        <v>2.6867542601332471E-2</v>
      </c>
      <c r="DT107" s="27">
        <v>6.0688564775993471E-2</v>
      </c>
      <c r="DU107" s="30">
        <v>5.9865389999999996</v>
      </c>
      <c r="DV107">
        <v>0.9</v>
      </c>
      <c r="DW107">
        <v>2.8</v>
      </c>
      <c r="DX107">
        <v>85.7</v>
      </c>
      <c r="DY107">
        <v>82.9</v>
      </c>
      <c r="DZ107">
        <v>2.4</v>
      </c>
      <c r="EA107">
        <v>2</v>
      </c>
      <c r="EB107">
        <v>1.4781599999999999</v>
      </c>
    </row>
    <row r="108" spans="1:132" ht="18">
      <c r="A108" s="14" t="s">
        <v>155</v>
      </c>
      <c r="B108" s="14">
        <v>3</v>
      </c>
      <c r="C108" s="14" t="s">
        <v>137</v>
      </c>
      <c r="D108" s="14" t="s">
        <v>138</v>
      </c>
      <c r="E108" s="14" t="s">
        <v>156</v>
      </c>
      <c r="F108" s="15">
        <v>11959</v>
      </c>
      <c r="G108" s="15">
        <v>4.0776948658865857</v>
      </c>
      <c r="H108" s="15">
        <v>10745</v>
      </c>
      <c r="I108" s="15">
        <v>1214</v>
      </c>
      <c r="J108" s="16">
        <v>0</v>
      </c>
      <c r="K108" s="16">
        <v>1</v>
      </c>
      <c r="L108" s="17">
        <v>0.52754863469936919</v>
      </c>
      <c r="M108" s="18">
        <v>120</v>
      </c>
      <c r="N108" s="18">
        <v>10</v>
      </c>
      <c r="O108" s="18">
        <v>0.86419753086419759</v>
      </c>
      <c r="P108" s="18">
        <v>3</v>
      </c>
      <c r="Q108" s="18">
        <f t="shared" si="49"/>
        <v>2.6666666666666665</v>
      </c>
      <c r="R108" s="18">
        <v>120</v>
      </c>
      <c r="S108" s="18">
        <v>5</v>
      </c>
      <c r="T108" s="19">
        <v>25021</v>
      </c>
      <c r="U108" s="19">
        <v>4.3983046629034916</v>
      </c>
      <c r="V108" s="20">
        <v>16007</v>
      </c>
      <c r="W108" s="20">
        <v>4.2043099449405368</v>
      </c>
      <c r="X108" s="20">
        <v>0.29913475733961242</v>
      </c>
      <c r="Y108" s="20">
        <v>0.52080536909999997</v>
      </c>
      <c r="Z108" s="20">
        <f t="shared" si="27"/>
        <v>-0.28332454717703159</v>
      </c>
      <c r="AA108" s="20">
        <v>0.25547445260000001</v>
      </c>
      <c r="AB108" s="20">
        <v>140</v>
      </c>
      <c r="AC108" s="20">
        <v>4656</v>
      </c>
      <c r="AE108" s="21"/>
      <c r="AF108" s="21"/>
      <c r="AG108" s="22">
        <v>0.16467422471216198</v>
      </c>
      <c r="AH108" s="22">
        <v>3733</v>
      </c>
      <c r="AI108" s="22">
        <v>3.6592218010000002</v>
      </c>
      <c r="AJ108" s="22">
        <v>53511</v>
      </c>
      <c r="AK108" s="23">
        <f t="shared" si="37"/>
        <v>4.7284430670352506</v>
      </c>
      <c r="AL108" s="24">
        <v>0.84613303600000001</v>
      </c>
      <c r="AM108" s="22">
        <v>8263</v>
      </c>
      <c r="AN108" s="22">
        <f t="shared" si="48"/>
        <v>0.36450659490934756</v>
      </c>
      <c r="AO108" s="23">
        <v>0.10845084711372628</v>
      </c>
      <c r="AP108" s="33">
        <v>6.11234E-3</v>
      </c>
      <c r="AQ108" s="23">
        <v>-0.21379249605262821</v>
      </c>
      <c r="AR108" s="22">
        <v>22669</v>
      </c>
      <c r="AS108" s="23">
        <v>4.3554323624705491</v>
      </c>
      <c r="AT108" s="23">
        <v>4.3787611753163729</v>
      </c>
      <c r="AU108" s="22">
        <v>0.57999999999999996</v>
      </c>
      <c r="AV108" s="22">
        <v>0.21063351590000001</v>
      </c>
      <c r="AW108" s="22">
        <v>52.1</v>
      </c>
      <c r="AX108" s="22">
        <v>65.75</v>
      </c>
      <c r="AY108" s="22">
        <v>2</v>
      </c>
      <c r="AZ108" s="24">
        <v>29571</v>
      </c>
      <c r="BA108" s="24">
        <f t="shared" si="29"/>
        <v>4.4708660112741248</v>
      </c>
      <c r="BB108" s="24">
        <v>18179</v>
      </c>
      <c r="BC108" s="24">
        <f t="shared" si="30"/>
        <v>4.2595699896435599</v>
      </c>
      <c r="BD108" s="24">
        <v>11392</v>
      </c>
      <c r="BE108" s="22">
        <v>3207</v>
      </c>
      <c r="BF108" s="22">
        <f t="shared" ref="BF108:BF118" si="50">STDEVP(BE107:BE108)</f>
        <v>192.5</v>
      </c>
      <c r="BG108" s="23">
        <v>-0.1071826280623608</v>
      </c>
      <c r="BH108" s="23">
        <v>0.14147073095416648</v>
      </c>
      <c r="BI108" s="23">
        <v>0.15016722408026756</v>
      </c>
      <c r="BJ108" s="23">
        <v>9.8223325499991784E-2</v>
      </c>
      <c r="BK108" s="23">
        <v>-5.7912058902098461E-2</v>
      </c>
      <c r="BL108" s="22">
        <v>3592</v>
      </c>
      <c r="BM108" s="22">
        <v>4343</v>
      </c>
      <c r="BN108" s="22">
        <f t="shared" ref="BN108:BN117" si="51">STDEVP(BM107:BM108)</f>
        <v>454.5</v>
      </c>
      <c r="BO108" s="22">
        <v>3.6377898293622293</v>
      </c>
      <c r="BP108" s="22">
        <v>0.14686686280477496</v>
      </c>
      <c r="BQ108" s="22">
        <v>1.5719513768211735E-2</v>
      </c>
      <c r="BR108" s="22">
        <v>5.8130729530681685E-3</v>
      </c>
      <c r="BS108" s="22">
        <v>-329</v>
      </c>
      <c r="BT108" s="22">
        <v>2.5171958979499744</v>
      </c>
      <c r="BU108" s="22">
        <v>1.4513211875248136E-2</v>
      </c>
      <c r="BV108" s="23">
        <v>4647</v>
      </c>
      <c r="BW108" s="24">
        <v>2999</v>
      </c>
      <c r="BX108" s="22">
        <v>11.62</v>
      </c>
      <c r="BY108" s="22">
        <v>1.0652061280543119</v>
      </c>
      <c r="BZ108" s="25">
        <v>-0.15244347191830793</v>
      </c>
      <c r="CA108" s="23">
        <v>2.7759121499224668</v>
      </c>
      <c r="CB108" s="23">
        <v>277.59121499224671</v>
      </c>
      <c r="CC108" s="23">
        <v>2.4434057177599002</v>
      </c>
      <c r="CD108" s="23">
        <v>3.9910305202485357</v>
      </c>
      <c r="CE108" s="23">
        <v>2.5345829915053892</v>
      </c>
      <c r="CF108" s="23">
        <v>2.1623222748815167</v>
      </c>
      <c r="CG108" s="23">
        <f t="shared" si="31"/>
        <v>0.77118277142063485</v>
      </c>
      <c r="CH108" s="26">
        <v>13.29</v>
      </c>
      <c r="CI108" s="26">
        <v>18.309999999999999</v>
      </c>
      <c r="CJ108" s="26">
        <v>1.1235249809427319</v>
      </c>
      <c r="CK108" s="26">
        <v>1.2626883443016965</v>
      </c>
      <c r="CL108" s="26">
        <v>-0.27416712179137082</v>
      </c>
      <c r="CM108" s="27">
        <v>16.030268199233717</v>
      </c>
      <c r="CN108" s="27">
        <v>-0.29117917128326054</v>
      </c>
      <c r="CQ108" s="27">
        <v>102.09153846153851</v>
      </c>
      <c r="CR108" s="27">
        <v>-0.11911486040268011</v>
      </c>
      <c r="CS108" s="27">
        <v>0.9859003831417622</v>
      </c>
      <c r="CT108" s="27">
        <v>0.92888888888888899</v>
      </c>
      <c r="CU108" s="27">
        <v>6.1376010559312889E-2</v>
      </c>
      <c r="CV108" s="27">
        <v>1.140877862595419</v>
      </c>
      <c r="CW108" s="27">
        <v>2.0572391532349976</v>
      </c>
      <c r="CX108" s="28">
        <v>1.07</v>
      </c>
      <c r="CY108" s="28">
        <v>0.66</v>
      </c>
      <c r="CZ108" s="29">
        <v>18.886297710000001</v>
      </c>
      <c r="DA108" s="27">
        <v>-0.40978411635852152</v>
      </c>
      <c r="DB108" s="27">
        <v>266.87708664986224</v>
      </c>
      <c r="DC108" s="27">
        <v>2.6347679627304119</v>
      </c>
      <c r="DD108" s="27">
        <v>1</v>
      </c>
      <c r="DE108" s="28">
        <v>2</v>
      </c>
      <c r="DF108" s="28">
        <v>90.668642000000006</v>
      </c>
      <c r="DG108" s="28">
        <v>4.5072115641552655</v>
      </c>
      <c r="DH108" s="28">
        <v>0.92110899999999996</v>
      </c>
      <c r="DI108" s="28">
        <v>0.39484000000000002</v>
      </c>
      <c r="DJ108" s="27">
        <v>3.5</v>
      </c>
      <c r="DK108" s="27">
        <v>2.1</v>
      </c>
      <c r="DL108" s="27">
        <v>1.3035848693861207E-2</v>
      </c>
      <c r="DM108" s="27">
        <v>0.73780000000000001</v>
      </c>
      <c r="DN108" s="28">
        <v>0.95269999999999999</v>
      </c>
      <c r="DO108" s="28">
        <v>-0.15172290980322323</v>
      </c>
      <c r="DP108" s="28">
        <f t="shared" ref="DP108:DP118" si="52">(DM108-DM107)/DM107</f>
        <v>-7.0780856423173832E-2</v>
      </c>
      <c r="DQ108" s="27">
        <v>0.11370000000000002</v>
      </c>
      <c r="DR108" s="27">
        <v>2.6867542601332471E-2</v>
      </c>
      <c r="DS108" s="27">
        <v>3.2347817198611614E-2</v>
      </c>
      <c r="DT108" s="27">
        <v>3.9305854754660308E-2</v>
      </c>
      <c r="DU108" s="30">
        <v>5.5230399999999999</v>
      </c>
      <c r="DV108">
        <v>0.3</v>
      </c>
      <c r="DW108">
        <v>2.6</v>
      </c>
      <c r="DX108">
        <v>88</v>
      </c>
      <c r="DY108">
        <v>85.1</v>
      </c>
      <c r="DZ108">
        <v>2</v>
      </c>
      <c r="EA108">
        <v>1.5</v>
      </c>
      <c r="EB108">
        <v>1.913224</v>
      </c>
    </row>
    <row r="109" spans="1:132" ht="18">
      <c r="A109" s="14" t="s">
        <v>155</v>
      </c>
      <c r="B109" s="14">
        <v>4</v>
      </c>
      <c r="C109" s="14" t="s">
        <v>137</v>
      </c>
      <c r="D109" s="14" t="s">
        <v>138</v>
      </c>
      <c r="E109" s="14" t="s">
        <v>156</v>
      </c>
      <c r="F109" s="15">
        <v>30440</v>
      </c>
      <c r="G109" s="15">
        <v>4.4834446480985353</v>
      </c>
      <c r="H109" s="15">
        <v>29991</v>
      </c>
      <c r="I109" s="15">
        <v>449</v>
      </c>
      <c r="J109" s="16">
        <v>0</v>
      </c>
      <c r="K109" s="16">
        <v>1</v>
      </c>
      <c r="L109" s="17">
        <v>1.3557812221628363</v>
      </c>
      <c r="M109" s="18">
        <v>120</v>
      </c>
      <c r="N109" s="18">
        <v>10</v>
      </c>
      <c r="O109" s="18">
        <v>0.86419753086419759</v>
      </c>
      <c r="P109" s="18">
        <v>3</v>
      </c>
      <c r="Q109" s="18">
        <f t="shared" si="49"/>
        <v>2.6666666666666665</v>
      </c>
      <c r="R109" s="18">
        <v>120</v>
      </c>
      <c r="S109" s="18">
        <v>5</v>
      </c>
      <c r="T109" s="19">
        <v>29473</v>
      </c>
      <c r="U109" s="19">
        <v>4.4694243441001609</v>
      </c>
      <c r="V109" s="20">
        <v>17437</v>
      </c>
      <c r="W109" s="20">
        <v>4.2414717675507632</v>
      </c>
      <c r="X109" s="20">
        <v>0.30647145669291337</v>
      </c>
      <c r="Y109" s="20">
        <v>0.57454545450000005</v>
      </c>
      <c r="Z109" s="20">
        <f t="shared" si="27"/>
        <v>-0.24067560691019874</v>
      </c>
      <c r="AA109" s="20">
        <v>0.3261943987</v>
      </c>
      <c r="AB109" s="20">
        <v>198</v>
      </c>
      <c r="AC109" s="20">
        <v>6004</v>
      </c>
      <c r="AE109" s="21"/>
      <c r="AF109" s="21"/>
      <c r="AG109" s="22">
        <v>0.17036344200962053</v>
      </c>
      <c r="AH109" s="22">
        <v>3825</v>
      </c>
      <c r="AI109" s="22">
        <v>5.1462362150000001</v>
      </c>
      <c r="AJ109" s="23">
        <v>56896</v>
      </c>
      <c r="AK109" s="23">
        <f t="shared" si="37"/>
        <v>4.7550817349541008</v>
      </c>
      <c r="AL109" s="24">
        <v>0.86201047099999994</v>
      </c>
      <c r="AM109" s="22">
        <v>9938</v>
      </c>
      <c r="AN109" s="22">
        <f t="shared" si="48"/>
        <v>0.44263317299127025</v>
      </c>
      <c r="AO109" s="23">
        <v>0.10575882542189464</v>
      </c>
      <c r="AP109" s="33">
        <v>1.818225E-2</v>
      </c>
      <c r="AQ109" s="23">
        <v>0.25964762487721865</v>
      </c>
      <c r="AR109" s="23">
        <v>22452</v>
      </c>
      <c r="AS109" s="23">
        <v>4.351255033547635</v>
      </c>
      <c r="AT109" s="23">
        <v>4.3554323624705491</v>
      </c>
      <c r="AU109" s="22">
        <v>0.79400000000000004</v>
      </c>
      <c r="AV109" s="22">
        <v>0.31101166689999998</v>
      </c>
      <c r="AW109" s="22">
        <v>64.400000000000006</v>
      </c>
      <c r="AX109" s="22">
        <v>52.1</v>
      </c>
      <c r="AY109" s="22">
        <v>2</v>
      </c>
      <c r="AZ109" s="24">
        <v>34191</v>
      </c>
      <c r="BA109" s="24">
        <f t="shared" si="29"/>
        <v>4.5339118029940453</v>
      </c>
      <c r="BB109" s="24">
        <v>22209</v>
      </c>
      <c r="BC109" s="24">
        <f t="shared" si="30"/>
        <v>4.346529004101864</v>
      </c>
      <c r="BD109" s="24">
        <v>11982</v>
      </c>
      <c r="BE109" s="23">
        <v>3616</v>
      </c>
      <c r="BF109" s="22">
        <f t="shared" si="50"/>
        <v>204.5</v>
      </c>
      <c r="BG109" s="23">
        <v>0.12753352042407234</v>
      </c>
      <c r="BH109" s="23">
        <v>0.16105469445929094</v>
      </c>
      <c r="BI109" s="23">
        <v>0.14147073095416648</v>
      </c>
      <c r="BJ109" s="23">
        <v>9.8223325499991784E-2</v>
      </c>
      <c r="BK109" s="23">
        <v>0.13843120321099664</v>
      </c>
      <c r="BL109" s="22">
        <v>3207</v>
      </c>
      <c r="BM109" s="22">
        <v>4144</v>
      </c>
      <c r="BN109" s="22">
        <f t="shared" si="51"/>
        <v>99.5</v>
      </c>
      <c r="BO109" s="22">
        <v>3.6174197467371765</v>
      </c>
      <c r="BP109" s="22">
        <v>0.12120148577110935</v>
      </c>
      <c r="BQ109" s="22">
        <v>1.2832688516832801E-2</v>
      </c>
      <c r="BR109" s="22">
        <v>1.5719513768211735E-2</v>
      </c>
      <c r="BS109" s="22">
        <v>1844</v>
      </c>
      <c r="BT109" s="22" t="e">
        <v>#NUM!</v>
      </c>
      <c r="BU109" s="22">
        <v>-8.213076786032425E-2</v>
      </c>
      <c r="BV109" s="23">
        <v>3726</v>
      </c>
      <c r="BW109" s="24">
        <v>3892</v>
      </c>
      <c r="BX109" s="22">
        <v>15.45</v>
      </c>
      <c r="BY109" s="22">
        <v>1.1889284837608534</v>
      </c>
      <c r="BZ109" s="25">
        <v>0.32960413080895012</v>
      </c>
      <c r="CA109" s="23">
        <v>2.5345829915053892</v>
      </c>
      <c r="CB109" s="23">
        <v>253.45829915053892</v>
      </c>
      <c r="CC109" s="23">
        <v>2.4039065161799544</v>
      </c>
      <c r="CD109" s="23">
        <v>2.7759121499224668</v>
      </c>
      <c r="CE109" s="23">
        <v>4.6043257728450531</v>
      </c>
      <c r="CF109" s="23">
        <v>1.4866995073891625</v>
      </c>
      <c r="CG109" s="23">
        <f t="shared" si="31"/>
        <v>0.39655856729196109</v>
      </c>
      <c r="CH109" s="26">
        <v>12.07</v>
      </c>
      <c r="CI109" s="26">
        <v>13.29</v>
      </c>
      <c r="CJ109" s="26">
        <v>1.0817072700973491</v>
      </c>
      <c r="CK109" s="26">
        <v>1.1235249809427319</v>
      </c>
      <c r="CL109" s="26">
        <v>-9.1798344620014974E-2</v>
      </c>
      <c r="CM109" s="27">
        <v>13.248115384615385</v>
      </c>
      <c r="CN109" s="27">
        <v>-0.17355622376619531</v>
      </c>
      <c r="CQ109" s="27">
        <v>81.715444015443992</v>
      </c>
      <c r="CR109" s="27">
        <v>-0.1995865157206041</v>
      </c>
      <c r="CS109" s="27">
        <v>0.91873076923076902</v>
      </c>
      <c r="CT109" s="27">
        <v>0.9859003831417622</v>
      </c>
      <c r="CU109" s="27">
        <v>-6.8130223965370842E-2</v>
      </c>
      <c r="CV109" s="27">
        <v>1.0315769230769232</v>
      </c>
      <c r="CW109" s="27">
        <v>2.0135016181765906</v>
      </c>
      <c r="CX109" s="28">
        <v>0.94</v>
      </c>
      <c r="CY109" s="28">
        <v>1.07</v>
      </c>
      <c r="CZ109" s="29">
        <v>14.03142308</v>
      </c>
      <c r="DA109" s="27">
        <v>-0.25705803776615366</v>
      </c>
      <c r="DB109" s="27">
        <v>1.72976924253802</v>
      </c>
      <c r="DC109" s="27">
        <v>266.87708664986224</v>
      </c>
      <c r="DD109" s="27">
        <v>1</v>
      </c>
      <c r="DE109" s="28">
        <v>1.1599999999999999</v>
      </c>
      <c r="DF109" s="28">
        <v>91.506073000000001</v>
      </c>
      <c r="DG109" s="28">
        <v>4.5164053416636794</v>
      </c>
      <c r="DH109" s="28">
        <v>0.92549700000000001</v>
      </c>
      <c r="DI109" s="28">
        <v>0.37078</v>
      </c>
      <c r="DJ109" s="27">
        <v>2.4</v>
      </c>
      <c r="DK109" s="27">
        <v>1.5</v>
      </c>
      <c r="DL109" s="27">
        <v>8.4498661866614921E-3</v>
      </c>
      <c r="DM109" s="27">
        <v>0.84399999999999997</v>
      </c>
      <c r="DN109" s="28">
        <v>0.79300000000000004</v>
      </c>
      <c r="DO109" s="28">
        <v>-0.167628844337147</v>
      </c>
      <c r="DP109" s="28">
        <f t="shared" si="52"/>
        <v>0.14394144754676058</v>
      </c>
      <c r="DQ109" s="27">
        <v>0.11509999999999998</v>
      </c>
      <c r="DR109" s="27">
        <v>3.2347817198611614E-2</v>
      </c>
      <c r="DS109" s="27">
        <v>2.4490842135800685E-2</v>
      </c>
      <c r="DT109" s="27">
        <v>2.6867542601332471E-2</v>
      </c>
      <c r="DU109" s="30">
        <v>5.0767810000000004</v>
      </c>
      <c r="DV109">
        <v>-0.3</v>
      </c>
      <c r="DW109">
        <v>0.7</v>
      </c>
      <c r="DX109">
        <v>90.9</v>
      </c>
      <c r="DY109">
        <v>87.4</v>
      </c>
      <c r="DZ109">
        <v>1.6</v>
      </c>
      <c r="EA109">
        <v>1</v>
      </c>
      <c r="EB109">
        <v>2.1595819999999999</v>
      </c>
    </row>
    <row r="110" spans="1:132" ht="18">
      <c r="A110" s="14" t="s">
        <v>155</v>
      </c>
      <c r="B110" s="14">
        <v>5</v>
      </c>
      <c r="C110" s="14" t="s">
        <v>137</v>
      </c>
      <c r="D110" s="14" t="s">
        <v>138</v>
      </c>
      <c r="E110" s="14" t="s">
        <v>156</v>
      </c>
      <c r="F110" s="15">
        <v>30456</v>
      </c>
      <c r="G110" s="15">
        <v>4.4836728638063104</v>
      </c>
      <c r="H110" s="15">
        <v>29859</v>
      </c>
      <c r="I110" s="15">
        <v>597</v>
      </c>
      <c r="J110" s="16">
        <v>0</v>
      </c>
      <c r="K110" s="16">
        <v>1</v>
      </c>
      <c r="L110" s="17">
        <v>1.3465976920015916</v>
      </c>
      <c r="M110" s="18">
        <v>120</v>
      </c>
      <c r="N110" s="18">
        <v>10</v>
      </c>
      <c r="O110" s="18">
        <v>0.86419753086419759</v>
      </c>
      <c r="P110" s="18">
        <v>3</v>
      </c>
      <c r="Q110" s="18">
        <f t="shared" si="49"/>
        <v>2.6666666666666665</v>
      </c>
      <c r="R110" s="18">
        <v>120</v>
      </c>
      <c r="S110" s="18">
        <v>5</v>
      </c>
      <c r="T110" s="19">
        <v>36249</v>
      </c>
      <c r="U110" s="19">
        <v>4.5592960302043286</v>
      </c>
      <c r="V110" s="20">
        <v>23536</v>
      </c>
      <c r="W110" s="20">
        <v>4.3717326553834548</v>
      </c>
      <c r="X110" s="20">
        <v>0.36029636886902211</v>
      </c>
      <c r="Y110" s="20">
        <v>0.58583255229999998</v>
      </c>
      <c r="Z110" s="20">
        <f t="shared" si="27"/>
        <v>-0.23222650002983725</v>
      </c>
      <c r="AA110" s="20">
        <v>0.38923076919999999</v>
      </c>
      <c r="AB110" s="20">
        <v>253</v>
      </c>
      <c r="AC110" s="20">
        <v>7501</v>
      </c>
      <c r="AE110" s="21"/>
      <c r="AF110" s="21"/>
      <c r="AG110" s="22">
        <v>0.17230401910067647</v>
      </c>
      <c r="AH110" s="22">
        <v>3897</v>
      </c>
      <c r="AI110" s="22">
        <v>5.0829187400000002</v>
      </c>
      <c r="AJ110" s="23">
        <v>65324</v>
      </c>
      <c r="AK110" s="23">
        <f t="shared" si="37"/>
        <v>4.8150727701359717</v>
      </c>
      <c r="AL110" s="24">
        <v>0.88152039100000001</v>
      </c>
      <c r="AM110" s="22">
        <v>10557</v>
      </c>
      <c r="AN110" s="22">
        <f t="shared" si="48"/>
        <v>0.46677278153601276</v>
      </c>
      <c r="AO110" s="23">
        <v>0.10471535225310669</v>
      </c>
      <c r="AP110" s="33">
        <v>1.9736066E-2</v>
      </c>
      <c r="AQ110" s="23">
        <v>0.29526058882196532</v>
      </c>
      <c r="AR110" s="23">
        <v>22617</v>
      </c>
      <c r="AS110" s="23">
        <v>4.354434998031901</v>
      </c>
      <c r="AT110" s="23">
        <v>4.351255033547635</v>
      </c>
      <c r="AU110" s="22">
        <v>0.875</v>
      </c>
      <c r="AV110" s="22">
        <v>0.33565505800000001</v>
      </c>
      <c r="AW110" s="22">
        <v>61.3</v>
      </c>
      <c r="AX110" s="22">
        <v>64.400000000000006</v>
      </c>
      <c r="AY110" s="22">
        <v>2</v>
      </c>
      <c r="AZ110" s="24">
        <v>41121</v>
      </c>
      <c r="BA110" s="24">
        <f t="shared" si="29"/>
        <v>4.6140636674950297</v>
      </c>
      <c r="BB110" s="24">
        <v>27742</v>
      </c>
      <c r="BC110" s="24">
        <f t="shared" si="30"/>
        <v>4.4431377673952879</v>
      </c>
      <c r="BD110" s="24">
        <v>13379</v>
      </c>
      <c r="BE110" s="23">
        <v>4306</v>
      </c>
      <c r="BF110" s="22">
        <f t="shared" si="50"/>
        <v>345</v>
      </c>
      <c r="BG110" s="23">
        <v>0.19081858407079647</v>
      </c>
      <c r="BH110" s="23">
        <v>0.19038776141840208</v>
      </c>
      <c r="BI110" s="23">
        <v>0.16105469445929094</v>
      </c>
      <c r="BJ110" s="23">
        <v>9.8223325499991784E-2</v>
      </c>
      <c r="BK110" s="23">
        <v>0.18213108942642792</v>
      </c>
      <c r="BL110" s="23">
        <v>3616</v>
      </c>
      <c r="BM110" s="22">
        <v>4478</v>
      </c>
      <c r="BN110" s="22">
        <f t="shared" si="51"/>
        <v>167</v>
      </c>
      <c r="BO110" s="22">
        <v>3.6510840892430116</v>
      </c>
      <c r="BP110" s="22">
        <v>0.10889812990929208</v>
      </c>
      <c r="BQ110" s="22">
        <v>6.1516779309086361E-3</v>
      </c>
      <c r="BR110" s="22">
        <v>1.2832688516832801E-2</v>
      </c>
      <c r="BS110" s="22">
        <v>1006</v>
      </c>
      <c r="BT110" s="22" t="e">
        <v>#NUM!</v>
      </c>
      <c r="BU110" s="22">
        <v>-4.4479816067559803E-2</v>
      </c>
      <c r="BV110" s="23">
        <v>3960</v>
      </c>
      <c r="BW110" s="24">
        <v>4048</v>
      </c>
      <c r="BX110" s="22">
        <v>15.48</v>
      </c>
      <c r="BY110" s="22">
        <v>1.1897709563468739</v>
      </c>
      <c r="BZ110" s="25">
        <v>1.9417475728156076E-3</v>
      </c>
      <c r="CA110" s="23">
        <v>4.6043257728450531</v>
      </c>
      <c r="CB110" s="23">
        <v>460.43257728450533</v>
      </c>
      <c r="CC110" s="23">
        <v>2.6631660439637668</v>
      </c>
      <c r="CD110" s="23">
        <v>2.5345829915053892</v>
      </c>
      <c r="CE110" s="23">
        <v>3.947932438714675</v>
      </c>
      <c r="CF110" s="23">
        <v>1.3301749271137027</v>
      </c>
      <c r="CG110" s="23">
        <f t="shared" si="31"/>
        <v>0.28531045773076136</v>
      </c>
      <c r="CH110" s="26">
        <v>11.56</v>
      </c>
      <c r="CI110" s="26">
        <v>12.07</v>
      </c>
      <c r="CJ110" s="26">
        <v>1.0629578340845103</v>
      </c>
      <c r="CK110" s="26">
        <v>1.0817072700973491</v>
      </c>
      <c r="CL110" s="26">
        <v>-4.2253521126760542E-2</v>
      </c>
      <c r="CM110" s="27">
        <v>13.296884615384608</v>
      </c>
      <c r="CN110" s="27">
        <v>3.681220260646025E-3</v>
      </c>
      <c r="CQ110" s="27">
        <v>67.989575289575299</v>
      </c>
      <c r="CR110" s="27">
        <v>-0.167971536975</v>
      </c>
      <c r="CS110" s="27">
        <v>0.84238461538461584</v>
      </c>
      <c r="CT110" s="27">
        <v>0.91873076923076902</v>
      </c>
      <c r="CU110" s="27">
        <v>-8.3099593921379125E-2</v>
      </c>
      <c r="CV110" s="27">
        <v>0.92230769230769172</v>
      </c>
      <c r="CW110" s="27">
        <v>1.9648758307920116</v>
      </c>
      <c r="CX110" s="28">
        <v>0.56000000000000005</v>
      </c>
      <c r="CY110" s="28">
        <v>0.94</v>
      </c>
      <c r="CZ110" s="29">
        <v>16.52657692</v>
      </c>
      <c r="DA110" s="27">
        <v>0.17782614249273998</v>
      </c>
      <c r="DB110" s="27">
        <v>1.322681365714484</v>
      </c>
      <c r="DC110" s="27">
        <v>1.72976924253802</v>
      </c>
      <c r="DD110" s="27">
        <v>1</v>
      </c>
      <c r="DE110" s="28">
        <v>0.7</v>
      </c>
      <c r="DF110" s="28">
        <v>92.341024000000004</v>
      </c>
      <c r="DG110" s="28">
        <v>4.5254885064693804</v>
      </c>
      <c r="DH110" s="28">
        <v>0.93214600000000003</v>
      </c>
      <c r="DI110" s="28">
        <v>0.37170599999999998</v>
      </c>
      <c r="DJ110" s="27">
        <v>2.8</v>
      </c>
      <c r="DK110" s="27">
        <v>1.8</v>
      </c>
      <c r="DL110" s="27">
        <v>7.6672365931182819E-3</v>
      </c>
      <c r="DM110" s="27">
        <v>0.75770000000000004</v>
      </c>
      <c r="DN110" s="28">
        <v>0.74250000000000005</v>
      </c>
      <c r="DO110" s="28">
        <v>-6.3682219419924316E-2</v>
      </c>
      <c r="DP110" s="28">
        <f t="shared" si="52"/>
        <v>-0.10225118483412314</v>
      </c>
      <c r="DQ110" s="27">
        <v>9.7799999999999998E-2</v>
      </c>
      <c r="DR110" s="27">
        <v>2.4490842135800685E-2</v>
      </c>
      <c r="DS110" s="27">
        <v>2.77430650961079E-2</v>
      </c>
      <c r="DT110" s="27">
        <v>3.2347817198611614E-2</v>
      </c>
      <c r="DU110" s="30">
        <v>4.6174650000000002</v>
      </c>
      <c r="DV110">
        <v>-0.5</v>
      </c>
      <c r="DW110">
        <v>-0.4</v>
      </c>
      <c r="DX110">
        <v>93.7</v>
      </c>
      <c r="DY110">
        <v>89.8</v>
      </c>
      <c r="DZ110">
        <v>1.6</v>
      </c>
      <c r="EA110">
        <v>1.7</v>
      </c>
      <c r="EB110">
        <v>2.2385109999999999</v>
      </c>
    </row>
    <row r="111" spans="1:132" ht="18">
      <c r="A111" s="14" t="s">
        <v>155</v>
      </c>
      <c r="B111" s="14">
        <v>6</v>
      </c>
      <c r="C111" s="14" t="s">
        <v>137</v>
      </c>
      <c r="D111" s="14" t="s">
        <v>138</v>
      </c>
      <c r="E111" s="14" t="s">
        <v>156</v>
      </c>
      <c r="F111" s="15">
        <v>52795</v>
      </c>
      <c r="G111" s="15">
        <v>4.7225927942150259</v>
      </c>
      <c r="H111" s="15">
        <v>36724</v>
      </c>
      <c r="I111" s="15">
        <v>16071</v>
      </c>
      <c r="J111" s="16">
        <v>0</v>
      </c>
      <c r="K111" s="16">
        <v>1</v>
      </c>
      <c r="L111" s="17">
        <v>1.4041596850980078</v>
      </c>
      <c r="M111" s="18">
        <v>120</v>
      </c>
      <c r="N111" s="18">
        <v>10</v>
      </c>
      <c r="O111" s="18">
        <v>0.86419753086419759</v>
      </c>
      <c r="P111" s="18">
        <v>3</v>
      </c>
      <c r="Q111" s="18">
        <f t="shared" si="49"/>
        <v>2.6666666666666665</v>
      </c>
      <c r="R111" s="18">
        <v>120</v>
      </c>
      <c r="S111" s="18">
        <v>5</v>
      </c>
      <c r="T111" s="19">
        <v>45521</v>
      </c>
      <c r="U111" s="19">
        <v>4.6582117940221552</v>
      </c>
      <c r="V111" s="20">
        <v>41199</v>
      </c>
      <c r="W111" s="20">
        <v>4.6148866747770043</v>
      </c>
      <c r="X111" s="20">
        <v>0.4098016591401914</v>
      </c>
      <c r="Y111" s="20">
        <v>0.71170424399999999</v>
      </c>
      <c r="Z111" s="20">
        <f t="shared" si="27"/>
        <v>-0.14770044440170221</v>
      </c>
      <c r="AA111" s="20">
        <v>0.30489510489999999</v>
      </c>
      <c r="AB111" s="20">
        <v>218</v>
      </c>
      <c r="AC111" s="20">
        <v>4293</v>
      </c>
      <c r="AE111" s="21"/>
      <c r="AF111" s="21"/>
      <c r="AG111" s="22">
        <v>0.14989760365967181</v>
      </c>
      <c r="AH111" s="22">
        <v>5636</v>
      </c>
      <c r="AI111" s="22">
        <v>5.8830314919999998</v>
      </c>
      <c r="AJ111" s="23">
        <v>100534</v>
      </c>
      <c r="AK111" s="23">
        <f t="shared" si="37"/>
        <v>5.0023129624054077</v>
      </c>
      <c r="AL111" s="24">
        <v>0.89155470199999998</v>
      </c>
      <c r="AM111" s="22">
        <v>20261</v>
      </c>
      <c r="AN111" s="22">
        <f t="shared" si="48"/>
        <v>0.53887071464666614</v>
      </c>
      <c r="AO111" s="23">
        <v>0.13134082807787223</v>
      </c>
      <c r="AP111" s="33">
        <v>2.5736539999999999E-2</v>
      </c>
      <c r="AQ111" s="23">
        <v>0.41055016028744346</v>
      </c>
      <c r="AR111" s="23">
        <v>37599</v>
      </c>
      <c r="AS111" s="23">
        <v>4.5751762943889061</v>
      </c>
      <c r="AT111" s="23">
        <v>4.354434998031901</v>
      </c>
      <c r="AU111" s="22">
        <v>1.169</v>
      </c>
      <c r="AV111" s="22">
        <v>0.47087322640000001</v>
      </c>
      <c r="AW111" s="22">
        <v>102</v>
      </c>
      <c r="AX111" s="22">
        <v>61.3</v>
      </c>
      <c r="AY111" s="22">
        <v>3</v>
      </c>
      <c r="AZ111" s="24">
        <v>51058</v>
      </c>
      <c r="BA111" s="24">
        <f t="shared" si="29"/>
        <v>4.7080637989920193</v>
      </c>
      <c r="BB111" s="24">
        <v>33781</v>
      </c>
      <c r="BC111" s="24">
        <f t="shared" si="30"/>
        <v>4.5286725016012941</v>
      </c>
      <c r="BD111" s="24">
        <v>17277</v>
      </c>
      <c r="BE111" s="23">
        <v>6706</v>
      </c>
      <c r="BF111" s="22">
        <f t="shared" si="50"/>
        <v>1200</v>
      </c>
      <c r="BG111" s="23">
        <v>0.55736182071528095</v>
      </c>
      <c r="BH111" s="23">
        <v>0.17835580733530146</v>
      </c>
      <c r="BI111" s="23">
        <v>0.19038776141840208</v>
      </c>
      <c r="BJ111" s="23">
        <v>9.8223325499991784E-2</v>
      </c>
      <c r="BK111" s="23">
        <v>-6.3197098350554287E-2</v>
      </c>
      <c r="BL111" s="23">
        <v>4306</v>
      </c>
      <c r="BM111" s="22">
        <v>7882</v>
      </c>
      <c r="BN111" s="22">
        <f t="shared" si="51"/>
        <v>1702</v>
      </c>
      <c r="BO111" s="22">
        <v>3.8966364305295844</v>
      </c>
      <c r="BP111" s="22">
        <v>0.1543734576364135</v>
      </c>
      <c r="BQ111" s="22">
        <v>2.2737663863560825E-2</v>
      </c>
      <c r="BR111" s="22">
        <v>6.1516779309086361E-3</v>
      </c>
      <c r="BS111" s="22">
        <v>-710</v>
      </c>
      <c r="BT111" s="22">
        <v>2.8512583487190755</v>
      </c>
      <c r="BU111" s="22">
        <v>1.8883480943642117E-2</v>
      </c>
      <c r="BV111" s="23">
        <v>4542</v>
      </c>
      <c r="BW111" s="24">
        <v>8164</v>
      </c>
      <c r="BX111" s="22">
        <v>26.52</v>
      </c>
      <c r="BY111" s="22">
        <v>1.4235735197327355</v>
      </c>
      <c r="BZ111" s="25">
        <v>0.71317829457364335</v>
      </c>
      <c r="CA111" s="23">
        <v>3.947932438714675</v>
      </c>
      <c r="CB111" s="23">
        <v>394.7932438714675</v>
      </c>
      <c r="CC111" s="23">
        <v>2.5963697119447957</v>
      </c>
      <c r="CD111" s="23">
        <v>4.6043257728450531</v>
      </c>
      <c r="CE111" s="23">
        <v>15.998200940326045</v>
      </c>
      <c r="CF111" s="23">
        <v>1.9734386216798276</v>
      </c>
      <c r="CG111" s="23">
        <f t="shared" si="31"/>
        <v>0.67977751438543998</v>
      </c>
      <c r="CH111" s="26">
        <v>22.5</v>
      </c>
      <c r="CI111" s="26">
        <v>11.56</v>
      </c>
      <c r="CJ111" s="26">
        <v>1.3521825181113625</v>
      </c>
      <c r="CK111" s="26">
        <v>1.0629578340845103</v>
      </c>
      <c r="CL111" s="26">
        <v>0.94636678200692037</v>
      </c>
      <c r="CM111" s="27">
        <v>18.34360153256705</v>
      </c>
      <c r="CN111" s="27">
        <v>0.37954130333231201</v>
      </c>
      <c r="CQ111" s="27">
        <v>77.833846153846167</v>
      </c>
      <c r="CR111" s="27">
        <v>0.14479088628430173</v>
      </c>
      <c r="CS111" s="27">
        <v>0.72605363984674265</v>
      </c>
      <c r="CT111" s="27">
        <v>0.84238461538461584</v>
      </c>
      <c r="CU111" s="27">
        <v>-0.13809722235342442</v>
      </c>
      <c r="CV111" s="27">
        <v>0.78180076628352502</v>
      </c>
      <c r="CW111" s="27">
        <v>1.8930960917710087</v>
      </c>
      <c r="CX111" s="28">
        <v>0.88</v>
      </c>
      <c r="CY111" s="28">
        <v>0.56000000000000005</v>
      </c>
      <c r="CZ111" s="29">
        <v>19.614636019999999</v>
      </c>
      <c r="DA111" s="27">
        <v>0.18685412683753744</v>
      </c>
      <c r="DB111" s="27">
        <v>2.3607257116750975</v>
      </c>
      <c r="DC111" s="27">
        <v>1.322681365714484</v>
      </c>
      <c r="DD111" s="27">
        <v>1</v>
      </c>
      <c r="DE111" s="28">
        <v>0.01</v>
      </c>
      <c r="DF111" s="28">
        <v>94.894289999999998</v>
      </c>
      <c r="DG111" s="28">
        <v>4.5527635352071547</v>
      </c>
      <c r="DH111" s="28">
        <v>0.945905</v>
      </c>
      <c r="DI111" s="28">
        <v>0.37997700000000001</v>
      </c>
      <c r="DJ111" s="27">
        <v>1.5</v>
      </c>
      <c r="DK111" s="27">
        <v>1.8</v>
      </c>
      <c r="DL111" s="27">
        <v>1.679984422560547E-2</v>
      </c>
      <c r="DM111" s="27">
        <v>0.6855</v>
      </c>
      <c r="DN111" s="28">
        <v>0.84760000000000002</v>
      </c>
      <c r="DO111" s="28">
        <v>0.14154882154882151</v>
      </c>
      <c r="DP111" s="28">
        <f t="shared" si="52"/>
        <v>-9.5288372706876123E-2</v>
      </c>
      <c r="DQ111" s="27">
        <v>0.10279999999999989</v>
      </c>
      <c r="DR111" s="27">
        <v>2.77430650961079E-2</v>
      </c>
      <c r="DS111" s="27">
        <v>5.0662060808238797E-2</v>
      </c>
      <c r="DT111" s="27">
        <v>2.4490842135800685E-2</v>
      </c>
      <c r="DU111" s="30">
        <v>4.6191050000000002</v>
      </c>
      <c r="DV111">
        <v>-0.9</v>
      </c>
      <c r="DW111">
        <v>-0.7</v>
      </c>
      <c r="DX111">
        <v>96.2</v>
      </c>
      <c r="DY111">
        <v>92.4</v>
      </c>
      <c r="DZ111">
        <v>2.1</v>
      </c>
      <c r="EA111">
        <v>1.9</v>
      </c>
      <c r="EB111">
        <v>2.1588159999999998</v>
      </c>
    </row>
    <row r="112" spans="1:132" ht="18">
      <c r="A112" s="14" t="s">
        <v>155</v>
      </c>
      <c r="B112" s="14">
        <v>7</v>
      </c>
      <c r="C112" s="14" t="s">
        <v>137</v>
      </c>
      <c r="D112" s="14" t="s">
        <v>138</v>
      </c>
      <c r="E112" s="14" t="s">
        <v>156</v>
      </c>
      <c r="F112" s="15">
        <v>44952</v>
      </c>
      <c r="G112" s="15">
        <v>4.6527490190868432</v>
      </c>
      <c r="H112" s="15">
        <v>43073</v>
      </c>
      <c r="I112" s="15">
        <v>1879</v>
      </c>
      <c r="J112" s="16">
        <v>0</v>
      </c>
      <c r="K112" s="16">
        <v>1</v>
      </c>
      <c r="L112" s="17">
        <v>1.1356677277550402</v>
      </c>
      <c r="M112" s="18">
        <v>120</v>
      </c>
      <c r="N112" s="18">
        <v>10</v>
      </c>
      <c r="O112" s="18">
        <v>0.86419753086419759</v>
      </c>
      <c r="P112" s="18">
        <v>3</v>
      </c>
      <c r="Q112" s="18">
        <f t="shared" si="49"/>
        <v>2.6666666666666665</v>
      </c>
      <c r="R112" s="18">
        <v>120</v>
      </c>
      <c r="S112" s="18">
        <v>5</v>
      </c>
      <c r="T112" s="19">
        <v>45672</v>
      </c>
      <c r="U112" s="19">
        <v>4.6596500299986268</v>
      </c>
      <c r="V112" s="20">
        <v>50243</v>
      </c>
      <c r="W112" s="20">
        <v>4.7010755631444958</v>
      </c>
      <c r="X112" s="20">
        <v>0.41276504851178497</v>
      </c>
      <c r="Y112" s="20">
        <v>0.82981445939999998</v>
      </c>
      <c r="Z112" s="20">
        <f t="shared" si="27"/>
        <v>-8.1019001920976358E-2</v>
      </c>
      <c r="AA112" s="20"/>
      <c r="AB112" s="20"/>
      <c r="AC112" s="20">
        <v>10376</v>
      </c>
      <c r="AE112" s="21"/>
      <c r="AF112" s="21"/>
      <c r="AG112" s="22">
        <v>0.15077560507301299</v>
      </c>
      <c r="AH112" s="22">
        <v>5968</v>
      </c>
      <c r="AI112" s="22">
        <v>2.483343428</v>
      </c>
      <c r="AJ112" s="23">
        <v>121723</v>
      </c>
      <c r="AK112" s="23">
        <f t="shared" si="37"/>
        <v>5.0853726474931458</v>
      </c>
      <c r="AL112" s="24">
        <v>0.90065075900000002</v>
      </c>
      <c r="AM112" s="22">
        <v>23072</v>
      </c>
      <c r="AN112" s="22">
        <f t="shared" si="48"/>
        <v>0.58289121317770709</v>
      </c>
      <c r="AO112" s="23">
        <v>7.6690987970814431E-2</v>
      </c>
      <c r="AP112" s="33">
        <v>4.0435066999999998E-2</v>
      </c>
      <c r="AQ112" s="23">
        <v>0.60675816706345653</v>
      </c>
      <c r="AR112" s="23">
        <v>39582</v>
      </c>
      <c r="AS112" s="23">
        <v>4.5974977344640964</v>
      </c>
      <c r="AT112" s="23">
        <v>4.5751762943889061</v>
      </c>
      <c r="AU112" s="22">
        <v>1.397</v>
      </c>
      <c r="AV112" s="22">
        <v>0.5861296184</v>
      </c>
      <c r="AW112" s="22">
        <v>41</v>
      </c>
      <c r="AX112" s="22">
        <v>102</v>
      </c>
      <c r="AY112" s="22">
        <v>1</v>
      </c>
      <c r="AZ112" s="24">
        <v>50710</v>
      </c>
      <c r="BA112" s="24">
        <f t="shared" si="29"/>
        <v>4.7050936105478733</v>
      </c>
      <c r="BB112" s="24">
        <v>33337</v>
      </c>
      <c r="BC112" s="24">
        <f t="shared" si="30"/>
        <v>4.5229265150460582</v>
      </c>
      <c r="BD112" s="24">
        <v>17373</v>
      </c>
      <c r="BE112" s="23">
        <v>3889</v>
      </c>
      <c r="BF112" s="22">
        <f t="shared" si="50"/>
        <v>1408.5</v>
      </c>
      <c r="BG112" s="23">
        <v>-0.42007157769161946</v>
      </c>
      <c r="BH112" s="23">
        <v>9.8251730584609162E-2</v>
      </c>
      <c r="BI112" s="23">
        <v>0.17835580733530146</v>
      </c>
      <c r="BJ112" s="23">
        <v>9.8223325499991784E-2</v>
      </c>
      <c r="BK112" s="23">
        <v>-0.44912513894263045</v>
      </c>
      <c r="BL112" s="23">
        <v>6706</v>
      </c>
      <c r="BM112" s="22">
        <v>3197</v>
      </c>
      <c r="BN112" s="22">
        <f t="shared" si="51"/>
        <v>2342.5</v>
      </c>
      <c r="BO112" s="22">
        <v>3.504742636271688</v>
      </c>
      <c r="BP112" s="22">
        <v>6.3044764346282783E-2</v>
      </c>
      <c r="BQ112" s="22">
        <v>4.5664346645065364E-2</v>
      </c>
      <c r="BR112" s="22">
        <v>2.2737663863560825E-2</v>
      </c>
      <c r="BS112" s="22">
        <v>-2905</v>
      </c>
      <c r="BT112" s="22">
        <v>3.4631461367263494</v>
      </c>
      <c r="BU112" s="22">
        <v>7.3391945833964939E-2</v>
      </c>
      <c r="BV112" s="23">
        <v>4450</v>
      </c>
      <c r="BW112" s="24">
        <v>9677</v>
      </c>
      <c r="BX112" s="22">
        <v>11.1</v>
      </c>
      <c r="BY112" s="22">
        <v>1.0453229787866574</v>
      </c>
      <c r="BZ112" s="25">
        <v>-0.58144796380090502</v>
      </c>
      <c r="CA112" s="23">
        <v>15.998200940326045</v>
      </c>
      <c r="CB112" s="23">
        <v>1599.8200940326046</v>
      </c>
      <c r="CC112" s="23">
        <v>3.2040711473047567</v>
      </c>
      <c r="CD112" s="23">
        <v>3.947932438714675</v>
      </c>
      <c r="CE112" s="23">
        <v>5.8322610508718871</v>
      </c>
      <c r="CF112" s="23">
        <v>2.7702407002188183</v>
      </c>
      <c r="CG112" s="23">
        <f t="shared" si="31"/>
        <v>1.0189342118099167</v>
      </c>
      <c r="CH112" s="26">
        <v>40</v>
      </c>
      <c r="CI112" s="26">
        <v>22.5</v>
      </c>
      <c r="CJ112" s="26">
        <v>1.6020599913279623</v>
      </c>
      <c r="CK112" s="26">
        <v>1.3521825181113625</v>
      </c>
      <c r="CL112" s="26">
        <v>0.77777777777777779</v>
      </c>
      <c r="CM112" s="27">
        <v>34.430804597701169</v>
      </c>
      <c r="CN112" s="27">
        <v>0.87699261437690179</v>
      </c>
      <c r="CO112" s="27">
        <v>14.002720000000007</v>
      </c>
      <c r="CQ112" s="27">
        <v>141.16230769230771</v>
      </c>
      <c r="CR112" s="27">
        <v>0.81363654332700808</v>
      </c>
      <c r="CS112" s="27">
        <v>1.4151340996168575</v>
      </c>
      <c r="CT112" s="27">
        <v>0.72605363984674265</v>
      </c>
      <c r="CU112" s="27">
        <v>0.94907651715039654</v>
      </c>
      <c r="CV112" s="27">
        <v>1.549389312977099</v>
      </c>
      <c r="CW112" s="27">
        <v>2.1901605560639821</v>
      </c>
      <c r="CX112" s="28">
        <v>2.34</v>
      </c>
      <c r="CY112" s="28">
        <v>0.88</v>
      </c>
      <c r="CZ112" s="29">
        <v>33.709007630000002</v>
      </c>
      <c r="DA112" s="27">
        <v>0.71856401493398725</v>
      </c>
      <c r="DB112" s="27">
        <v>3.1430399491928545</v>
      </c>
      <c r="DC112" s="27">
        <v>2.3607257116750975</v>
      </c>
      <c r="DD112" s="27">
        <v>1</v>
      </c>
      <c r="DE112" s="28">
        <v>-0.34</v>
      </c>
      <c r="DF112" s="28">
        <v>97.814077999999995</v>
      </c>
      <c r="DG112" s="28">
        <v>4.5830685135116864</v>
      </c>
      <c r="DH112" s="28">
        <v>0.96250999999999998</v>
      </c>
      <c r="DI112" s="28">
        <v>0.35328399999999999</v>
      </c>
      <c r="DJ112" s="27">
        <v>1.2</v>
      </c>
      <c r="DK112" s="27">
        <v>2</v>
      </c>
      <c r="DL112" s="27">
        <v>4.1965997035105826E-2</v>
      </c>
      <c r="DM112" s="27">
        <v>0.71560000000000001</v>
      </c>
      <c r="DN112" s="28">
        <v>0.75849999999999995</v>
      </c>
      <c r="DO112" s="28">
        <v>-0.10512033978291654</v>
      </c>
      <c r="DP112" s="28">
        <f t="shared" si="52"/>
        <v>4.3909555069292512E-2</v>
      </c>
      <c r="DQ112" s="27">
        <v>0.17789999999999995</v>
      </c>
      <c r="DR112" s="27">
        <v>5.0662060808238797E-2</v>
      </c>
      <c r="DS112" s="27">
        <v>3.802148779895468E-2</v>
      </c>
      <c r="DT112" s="27">
        <v>2.77430650961079E-2</v>
      </c>
      <c r="DU112" s="30">
        <v>5.7984980000000004</v>
      </c>
      <c r="DV112">
        <v>-1</v>
      </c>
      <c r="DW112">
        <v>0.7</v>
      </c>
      <c r="DX112">
        <v>98</v>
      </c>
      <c r="DY112">
        <v>95</v>
      </c>
      <c r="DZ112">
        <v>1.6</v>
      </c>
      <c r="EA112">
        <v>1.7</v>
      </c>
      <c r="EB112">
        <v>2.0603549999999999</v>
      </c>
    </row>
    <row r="113" spans="1:132" ht="18">
      <c r="A113" s="14" t="s">
        <v>155</v>
      </c>
      <c r="B113" s="14">
        <v>8</v>
      </c>
      <c r="C113" s="14" t="s">
        <v>137</v>
      </c>
      <c r="D113" s="14" t="s">
        <v>138</v>
      </c>
      <c r="E113" s="14" t="s">
        <v>156</v>
      </c>
      <c r="F113" s="15">
        <v>31783</v>
      </c>
      <c r="G113" s="15">
        <v>4.502194887898237</v>
      </c>
      <c r="H113" s="15">
        <v>30823</v>
      </c>
      <c r="I113" s="15">
        <v>544</v>
      </c>
      <c r="J113" s="16">
        <v>416</v>
      </c>
      <c r="K113" s="16">
        <v>1</v>
      </c>
      <c r="L113" s="17">
        <v>0.88933348256757516</v>
      </c>
      <c r="M113" s="18">
        <v>120</v>
      </c>
      <c r="N113" s="18">
        <v>10</v>
      </c>
      <c r="O113" s="18">
        <v>0.86419753086419759</v>
      </c>
      <c r="P113" s="18">
        <v>3</v>
      </c>
      <c r="Q113" s="18">
        <f t="shared" si="49"/>
        <v>2.6666666666666665</v>
      </c>
      <c r="R113" s="18">
        <v>120</v>
      </c>
      <c r="S113" s="18">
        <v>5</v>
      </c>
      <c r="T113" s="19">
        <v>35693</v>
      </c>
      <c r="U113" s="19">
        <v>4.5525830519817303</v>
      </c>
      <c r="V113" s="20">
        <v>53996</v>
      </c>
      <c r="W113" s="20">
        <v>4.7323615886698072</v>
      </c>
      <c r="X113" s="20">
        <v>0.43838241144425227</v>
      </c>
      <c r="Y113" s="20">
        <v>0.78185658250000001</v>
      </c>
      <c r="Z113" s="20">
        <f t="shared" si="27"/>
        <v>-0.10687290313078988</v>
      </c>
      <c r="AA113" s="20"/>
      <c r="AB113" s="20"/>
      <c r="AC113" s="20">
        <v>7774</v>
      </c>
      <c r="AE113" s="21"/>
      <c r="AF113" s="21"/>
      <c r="AG113" s="22">
        <v>0.16534221277072025</v>
      </c>
      <c r="AH113" s="22">
        <v>5909</v>
      </c>
      <c r="AI113" s="22">
        <v>2.2374398260000001</v>
      </c>
      <c r="AJ113" s="23">
        <v>123171</v>
      </c>
      <c r="AK113" s="23">
        <f t="shared" si="37"/>
        <v>5.0905084673858756</v>
      </c>
      <c r="AL113" s="24">
        <v>0.87090083900000004</v>
      </c>
      <c r="AM113" s="22">
        <v>20989</v>
      </c>
      <c r="AN113" s="22">
        <f t="shared" si="48"/>
        <v>0.58730203145111648</v>
      </c>
      <c r="AO113" s="23">
        <v>6.3439390981846573E-3</v>
      </c>
      <c r="AP113" s="33">
        <v>1.4762178000000001E-2</v>
      </c>
      <c r="AQ113" s="23">
        <v>0.169150437676723</v>
      </c>
      <c r="AR113" s="23">
        <v>35738</v>
      </c>
      <c r="AS113" s="23">
        <v>4.5531302444967743</v>
      </c>
      <c r="AT113" s="23">
        <v>4.5974977344640964</v>
      </c>
      <c r="AU113" s="22">
        <v>1.423</v>
      </c>
      <c r="AV113" s="22">
        <v>0.6885212557</v>
      </c>
      <c r="AW113" s="22">
        <v>33</v>
      </c>
      <c r="AX113" s="22">
        <v>41</v>
      </c>
      <c r="AY113" s="22">
        <v>1</v>
      </c>
      <c r="AZ113" s="24">
        <v>40984</v>
      </c>
      <c r="BA113" s="24">
        <f t="shared" si="29"/>
        <v>4.6126143428682846</v>
      </c>
      <c r="BB113" s="24">
        <v>27720</v>
      </c>
      <c r="BC113" s="24">
        <f t="shared" si="30"/>
        <v>4.4427932259397691</v>
      </c>
      <c r="BD113" s="24">
        <v>13264</v>
      </c>
      <c r="BE113" s="23">
        <v>260</v>
      </c>
      <c r="BF113" s="22">
        <f t="shared" si="50"/>
        <v>1814.5</v>
      </c>
      <c r="BG113" s="23">
        <v>-0.93314476729236306</v>
      </c>
      <c r="BH113" s="23">
        <v>7.2751692875930385E-3</v>
      </c>
      <c r="BI113" s="23">
        <v>9.8251730584609162E-2</v>
      </c>
      <c r="BJ113" s="23">
        <v>9.8223325499991784E-2</v>
      </c>
      <c r="BK113" s="23">
        <v>-0.92595377970133508</v>
      </c>
      <c r="BL113" s="23">
        <v>3889</v>
      </c>
      <c r="BM113" s="22">
        <v>3247</v>
      </c>
      <c r="BN113" s="22">
        <f t="shared" si="51"/>
        <v>25</v>
      </c>
      <c r="BO113" s="22">
        <v>3.5114822886260013</v>
      </c>
      <c r="BP113" s="22">
        <v>7.9226039430021475E-2</v>
      </c>
      <c r="BQ113" s="22">
        <v>8.0906375418693458E-3</v>
      </c>
      <c r="BR113" s="22">
        <v>4.5664346645065364E-2</v>
      </c>
      <c r="BS113" s="22">
        <v>-2148</v>
      </c>
      <c r="BT113" s="22">
        <v>3.332034277027518</v>
      </c>
      <c r="BU113" s="22">
        <v>6.0104090883653254E-2</v>
      </c>
      <c r="BV113" s="23">
        <v>2844</v>
      </c>
      <c r="BW113" s="24">
        <v>10155</v>
      </c>
      <c r="BX113" s="22">
        <v>8.92</v>
      </c>
      <c r="BY113" s="22">
        <v>0.95036485437612306</v>
      </c>
      <c r="BZ113" s="25">
        <v>-0.19639639639639639</v>
      </c>
      <c r="CA113" s="23">
        <v>5.8322610508718871</v>
      </c>
      <c r="CB113" s="23">
        <v>583.22610508718867</v>
      </c>
      <c r="CC113" s="23">
        <v>2.7658369546816335</v>
      </c>
      <c r="CD113" s="23">
        <v>15.998200940326045</v>
      </c>
      <c r="CE113" s="23">
        <v>7.1555148383187932</v>
      </c>
      <c r="CF113" s="23">
        <v>1.8354231974921631</v>
      </c>
      <c r="CG113" s="23">
        <f t="shared" si="31"/>
        <v>0.60727508025292753</v>
      </c>
      <c r="CH113" s="26">
        <v>21.68</v>
      </c>
      <c r="CI113" s="26">
        <v>40</v>
      </c>
      <c r="CJ113" s="26">
        <v>1.3360592778663494</v>
      </c>
      <c r="CK113" s="26">
        <v>1.6020599913279623</v>
      </c>
      <c r="CL113" s="26">
        <v>-0.45800000000000002</v>
      </c>
      <c r="CM113" s="27">
        <v>32.806781609195411</v>
      </c>
      <c r="CN113" s="27">
        <v>-4.7167732717294325E-2</v>
      </c>
      <c r="CO113" s="27">
        <v>14.687391304347829</v>
      </c>
      <c r="CP113" s="27">
        <v>4.8895593452402179E-2</v>
      </c>
      <c r="CQ113" s="27">
        <v>128.33115384615388</v>
      </c>
      <c r="CR113" s="27">
        <v>-9.0896458522922177E-2</v>
      </c>
      <c r="CS113" s="27">
        <v>1.3546743295019157</v>
      </c>
      <c r="CT113" s="27">
        <v>1.4151340996168575</v>
      </c>
      <c r="CU113" s="27">
        <v>-4.272370380397951E-2</v>
      </c>
      <c r="CV113" s="27">
        <v>1.5608045977011498</v>
      </c>
      <c r="CW113" s="27">
        <v>2.1933485357004661</v>
      </c>
      <c r="CX113" s="28">
        <v>1.03</v>
      </c>
      <c r="CY113" s="28">
        <v>2.34</v>
      </c>
      <c r="CZ113" s="29">
        <v>33.580881230000003</v>
      </c>
      <c r="DA113" s="27">
        <v>-3.8009543741646867E-3</v>
      </c>
      <c r="DB113" s="27">
        <v>1.4102002336892525</v>
      </c>
      <c r="DC113" s="27">
        <v>3.1430399491928545</v>
      </c>
      <c r="DD113" s="27">
        <v>1</v>
      </c>
      <c r="DE113" s="28">
        <v>2.52</v>
      </c>
      <c r="DF113" s="28">
        <v>99.650453999999996</v>
      </c>
      <c r="DG113" s="28">
        <v>4.6016686025942359</v>
      </c>
      <c r="DH113" s="28">
        <v>0.98323300000000002</v>
      </c>
      <c r="DI113" s="28">
        <v>0.30043300000000001</v>
      </c>
      <c r="DJ113" s="27">
        <v>1.8</v>
      </c>
      <c r="DK113" s="27">
        <v>2.6</v>
      </c>
      <c r="DL113" s="27">
        <v>2.4369778879479467E-2</v>
      </c>
      <c r="DM113" s="27">
        <v>0.69779999999999998</v>
      </c>
      <c r="DN113" s="28">
        <v>0.68400000000000005</v>
      </c>
      <c r="DO113" s="28">
        <v>-9.8220171390902972E-2</v>
      </c>
      <c r="DP113" s="28">
        <f t="shared" si="52"/>
        <v>-2.487423141419793E-2</v>
      </c>
      <c r="DQ113" s="27">
        <v>0.13560000000000005</v>
      </c>
      <c r="DR113" s="27">
        <v>3.802148779895468E-2</v>
      </c>
      <c r="DS113" s="27">
        <v>3.4239891893164551E-2</v>
      </c>
      <c r="DT113" s="27">
        <v>5.0662060808238797E-2</v>
      </c>
      <c r="DU113" s="30">
        <v>9.2708490000000001</v>
      </c>
      <c r="DV113">
        <v>2.2000000000000002</v>
      </c>
      <c r="DW113">
        <v>2.6</v>
      </c>
      <c r="DX113">
        <v>98.8</v>
      </c>
      <c r="DY113">
        <v>96.9</v>
      </c>
      <c r="DZ113">
        <v>1.3</v>
      </c>
      <c r="EA113">
        <v>2.5</v>
      </c>
      <c r="EB113">
        <v>1.1868369999999999</v>
      </c>
    </row>
    <row r="114" spans="1:132" ht="18">
      <c r="A114" s="14" t="s">
        <v>155</v>
      </c>
      <c r="B114" s="14">
        <v>9</v>
      </c>
      <c r="C114" s="14" t="s">
        <v>137</v>
      </c>
      <c r="D114" s="14" t="s">
        <v>138</v>
      </c>
      <c r="E114" s="14" t="s">
        <v>156</v>
      </c>
      <c r="F114" s="15">
        <v>39675</v>
      </c>
      <c r="G114" s="15">
        <v>4.5985169354268862</v>
      </c>
      <c r="H114" s="15">
        <v>36589</v>
      </c>
      <c r="I114" s="15">
        <v>2708</v>
      </c>
      <c r="J114" s="16">
        <v>378</v>
      </c>
      <c r="K114" s="16">
        <v>1</v>
      </c>
      <c r="L114" s="17">
        <v>1.0141093474426808</v>
      </c>
      <c r="M114" s="18">
        <v>120</v>
      </c>
      <c r="N114" s="18">
        <v>10</v>
      </c>
      <c r="O114" s="18">
        <v>0.86419753086419759</v>
      </c>
      <c r="P114" s="18">
        <v>3</v>
      </c>
      <c r="Q114" s="18">
        <f t="shared" si="49"/>
        <v>2.6666666666666665</v>
      </c>
      <c r="R114" s="18">
        <v>120</v>
      </c>
      <c r="S114" s="18">
        <v>5</v>
      </c>
      <c r="T114" s="19">
        <v>37320</v>
      </c>
      <c r="U114" s="19">
        <v>4.5719416350744622</v>
      </c>
      <c r="V114" s="20">
        <v>64296</v>
      </c>
      <c r="W114" s="20">
        <v>4.8081839553198149</v>
      </c>
      <c r="X114" s="20">
        <v>0.49705075180704261</v>
      </c>
      <c r="Y114" s="20">
        <v>0.79823742870000003</v>
      </c>
      <c r="Z114" s="20">
        <f t="shared" si="27"/>
        <v>-9.7867912361598142E-2</v>
      </c>
      <c r="AA114" s="20"/>
      <c r="AB114" s="20"/>
      <c r="AC114" s="20">
        <v>7699</v>
      </c>
      <c r="AE114" s="21"/>
      <c r="AF114" s="21"/>
      <c r="AG114" s="22">
        <v>0.14986069575441557</v>
      </c>
      <c r="AH114" s="22">
        <v>5863</v>
      </c>
      <c r="AI114" s="22">
        <v>1.768221305</v>
      </c>
      <c r="AJ114" s="23">
        <v>129355</v>
      </c>
      <c r="AK114" s="23">
        <f t="shared" si="37"/>
        <v>5.1117832202998885</v>
      </c>
      <c r="AL114" s="24">
        <v>0.87923479199999999</v>
      </c>
      <c r="AM114" s="22">
        <v>22892</v>
      </c>
      <c r="AN114" s="22">
        <f t="shared" si="48"/>
        <v>0.58512895227871076</v>
      </c>
      <c r="AO114" s="23">
        <v>3.1640201668001695E-2</v>
      </c>
      <c r="AP114" s="33">
        <v>5.6655500000000005E-4</v>
      </c>
      <c r="AQ114" s="23">
        <v>-1.2467579233344663</v>
      </c>
      <c r="AR114" s="23">
        <v>39123</v>
      </c>
      <c r="AS114" s="23">
        <v>4.5924321496301621</v>
      </c>
      <c r="AT114" s="23">
        <v>4.5531302444967743</v>
      </c>
      <c r="AU114" s="22">
        <v>1.41</v>
      </c>
      <c r="AV114" s="22">
        <v>0.70112747210000004</v>
      </c>
      <c r="AW114" s="22">
        <v>28.7</v>
      </c>
      <c r="AX114" s="22">
        <v>33</v>
      </c>
      <c r="AY114" s="22">
        <v>1</v>
      </c>
      <c r="AZ114" s="24">
        <v>42446</v>
      </c>
      <c r="BA114" s="24">
        <f t="shared" si="29"/>
        <v>4.6278367697324194</v>
      </c>
      <c r="BB114" s="24">
        <v>29456</v>
      </c>
      <c r="BC114" s="24">
        <f t="shared" si="30"/>
        <v>4.4691737711599391</v>
      </c>
      <c r="BD114" s="24">
        <v>12990</v>
      </c>
      <c r="BE114" s="23">
        <v>1343</v>
      </c>
      <c r="BF114" s="22">
        <f t="shared" si="50"/>
        <v>541.5</v>
      </c>
      <c r="BG114" s="23">
        <v>4.1653846153846157</v>
      </c>
      <c r="BH114" s="23">
        <v>3.432763336144979E-2</v>
      </c>
      <c r="BI114" s="23">
        <v>7.2751692875930385E-3</v>
      </c>
      <c r="BJ114" s="23">
        <v>9.8223325499991784E-2</v>
      </c>
      <c r="BK114" s="23">
        <v>3.7184652348903562</v>
      </c>
      <c r="BL114" s="23">
        <v>260</v>
      </c>
      <c r="BM114" s="22">
        <v>4774</v>
      </c>
      <c r="BN114" s="22">
        <f t="shared" si="51"/>
        <v>763.5</v>
      </c>
      <c r="BO114" s="22">
        <v>3.6788824146707357</v>
      </c>
      <c r="BP114" s="22">
        <v>0.11247231776845874</v>
      </c>
      <c r="BQ114" s="22">
        <v>1.662313916921861E-2</v>
      </c>
      <c r="BR114" s="22">
        <v>8.0906375418693458E-3</v>
      </c>
      <c r="BS114" s="22">
        <v>-2421</v>
      </c>
      <c r="BT114" s="22">
        <v>3.3839947894417328</v>
      </c>
      <c r="BU114" s="22">
        <v>6.188175753393145E-2</v>
      </c>
      <c r="BV114" s="23">
        <v>3332</v>
      </c>
      <c r="BW114" s="24">
        <v>11380</v>
      </c>
      <c r="BX114" s="22">
        <v>7.74</v>
      </c>
      <c r="BY114" s="22">
        <v>0.88874096068289266</v>
      </c>
      <c r="BZ114" s="25">
        <v>-0.13228699551569503</v>
      </c>
      <c r="CA114" s="23">
        <v>7.1555148383187932</v>
      </c>
      <c r="CB114" s="23">
        <v>715.5514838318793</v>
      </c>
      <c r="CC114" s="23">
        <v>2.8546408866488413</v>
      </c>
      <c r="CD114" s="23">
        <v>5.8322610508718871</v>
      </c>
      <c r="CE114" s="23">
        <v>5.4867350811381188</v>
      </c>
      <c r="CF114" s="23">
        <v>1.7965023847376789</v>
      </c>
      <c r="CG114" s="23">
        <f t="shared" si="31"/>
        <v>0.58584165500594576</v>
      </c>
      <c r="CH114" s="26">
        <v>17.75</v>
      </c>
      <c r="CI114" s="26">
        <v>21.68</v>
      </c>
      <c r="CJ114" s="26">
        <v>1.249198357391113</v>
      </c>
      <c r="CK114" s="26">
        <v>1.3360592778663494</v>
      </c>
      <c r="CL114" s="26">
        <v>-0.18127306273062729</v>
      </c>
      <c r="CM114" s="27">
        <v>23.674061302682002</v>
      </c>
      <c r="CN114" s="27">
        <v>-0.27837903806917774</v>
      </c>
      <c r="CO114" s="27">
        <v>13.172845849802364</v>
      </c>
      <c r="CP114" s="27">
        <v>-0.10311875153058132</v>
      </c>
      <c r="CQ114" s="27">
        <v>93.814615384615436</v>
      </c>
      <c r="CR114" s="27">
        <v>-0.26896460779054171</v>
      </c>
      <c r="CS114" s="27">
        <v>1.0575095785440605</v>
      </c>
      <c r="CT114" s="27">
        <v>1.3546743295019157</v>
      </c>
      <c r="CU114" s="27">
        <v>-0.21936250247475808</v>
      </c>
      <c r="CV114" s="27">
        <v>1.2699233716475098</v>
      </c>
      <c r="CW114" s="27">
        <v>2.1037775160152683</v>
      </c>
      <c r="CX114" s="28">
        <v>0.92</v>
      </c>
      <c r="CY114" s="28">
        <v>1.03</v>
      </c>
      <c r="CZ114" s="29">
        <v>26.404674329999999</v>
      </c>
      <c r="DA114" s="27">
        <v>-0.21369918349816944</v>
      </c>
      <c r="DB114" s="27">
        <v>3.3676575479931978</v>
      </c>
      <c r="DC114" s="27">
        <v>1.4102002336892525</v>
      </c>
      <c r="DD114" s="27">
        <v>1</v>
      </c>
      <c r="DE114" s="28">
        <v>2.2000000000000002</v>
      </c>
      <c r="DF114" s="28">
        <v>100</v>
      </c>
      <c r="DG114" s="28">
        <v>4.6051701859880918</v>
      </c>
      <c r="DH114" s="28">
        <v>1</v>
      </c>
      <c r="DI114" s="28">
        <v>0.27470099999999997</v>
      </c>
      <c r="DJ114" s="27">
        <v>2.6</v>
      </c>
      <c r="DK114" s="27">
        <v>2.5</v>
      </c>
      <c r="DL114" s="27">
        <v>2.4833477735949187E-2</v>
      </c>
      <c r="DM114" s="27">
        <v>0.74709999999999999</v>
      </c>
      <c r="DN114" s="28">
        <v>0.71719999999999995</v>
      </c>
      <c r="DO114" s="28">
        <v>4.8538011695906276E-2</v>
      </c>
      <c r="DP114" s="28">
        <f t="shared" si="52"/>
        <v>7.0650616222413323E-2</v>
      </c>
      <c r="DQ114" s="27">
        <v>0.14990000000000003</v>
      </c>
      <c r="DR114" s="27">
        <v>3.4239891893164551E-2</v>
      </c>
      <c r="DS114" s="27">
        <v>2.4180879115385762E-2</v>
      </c>
      <c r="DT114" s="27">
        <v>3.802148779895468E-2</v>
      </c>
      <c r="DU114" s="30">
        <v>9.6228090000000002</v>
      </c>
      <c r="DV114">
        <v>2.7</v>
      </c>
      <c r="DW114">
        <v>2.9</v>
      </c>
      <c r="DX114">
        <v>100</v>
      </c>
      <c r="DY114">
        <v>100</v>
      </c>
      <c r="DZ114">
        <v>0.2</v>
      </c>
      <c r="EA114">
        <v>2</v>
      </c>
      <c r="EB114">
        <v>1.2855829999999999</v>
      </c>
    </row>
    <row r="115" spans="1:132" ht="18">
      <c r="A115" s="14" t="s">
        <v>155</v>
      </c>
      <c r="B115" s="14">
        <v>10</v>
      </c>
      <c r="C115" s="14" t="s">
        <v>137</v>
      </c>
      <c r="D115" s="14" t="s">
        <v>138</v>
      </c>
      <c r="E115" s="14" t="s">
        <v>156</v>
      </c>
      <c r="F115" s="15">
        <v>33208</v>
      </c>
      <c r="G115" s="15">
        <v>4.5212427203704628</v>
      </c>
      <c r="H115" s="15">
        <v>31115</v>
      </c>
      <c r="I115" s="15">
        <v>1715</v>
      </c>
      <c r="J115" s="16">
        <v>378</v>
      </c>
      <c r="K115" s="16">
        <v>1</v>
      </c>
      <c r="L115" s="17">
        <v>0.91722137826267092</v>
      </c>
      <c r="M115" s="18">
        <v>120</v>
      </c>
      <c r="N115" s="18">
        <v>10</v>
      </c>
      <c r="O115" s="18">
        <v>0.86419753086419759</v>
      </c>
      <c r="P115" s="18">
        <v>3</v>
      </c>
      <c r="Q115" s="18">
        <f t="shared" si="49"/>
        <v>2.6666666666666665</v>
      </c>
      <c r="R115" s="18">
        <v>120</v>
      </c>
      <c r="S115" s="18">
        <v>5</v>
      </c>
      <c r="T115" s="19">
        <v>34758</v>
      </c>
      <c r="U115" s="19">
        <v>4.5410547788827005</v>
      </c>
      <c r="V115" s="20">
        <v>65567</v>
      </c>
      <c r="W115" s="20">
        <v>4.8166853130968681</v>
      </c>
      <c r="X115" s="20">
        <v>0.48868235311654529</v>
      </c>
      <c r="Y115" s="20">
        <v>0.76977261490000004</v>
      </c>
      <c r="Z115" s="20">
        <f t="shared" si="27"/>
        <v>-0.11363754324060621</v>
      </c>
      <c r="AA115" s="20"/>
      <c r="AB115" s="20"/>
      <c r="AC115" s="20">
        <v>6229</v>
      </c>
      <c r="AE115" s="21"/>
      <c r="AF115" s="21"/>
      <c r="AG115" s="22">
        <v>0.15423284076784974</v>
      </c>
      <c r="AH115" s="22">
        <v>5584</v>
      </c>
      <c r="AI115" s="22">
        <v>1.0060362169999999</v>
      </c>
      <c r="AJ115" s="23">
        <v>134171</v>
      </c>
      <c r="AK115" s="23">
        <f t="shared" si="37"/>
        <v>5.1276586566602296</v>
      </c>
      <c r="AL115" s="24">
        <v>0.89909206100000005</v>
      </c>
      <c r="AM115" s="22">
        <v>22289</v>
      </c>
      <c r="AN115" s="22">
        <f t="shared" si="48"/>
        <v>0.615633199834277</v>
      </c>
      <c r="AO115" s="23">
        <v>-3.8490390336014903E-2</v>
      </c>
      <c r="AP115" s="33">
        <v>2.2544279E-2</v>
      </c>
      <c r="AQ115" s="23">
        <v>0.35303635047299414</v>
      </c>
      <c r="AR115" s="23">
        <v>36205</v>
      </c>
      <c r="AS115" s="23">
        <v>4.5587685518165841</v>
      </c>
      <c r="AT115" s="23">
        <v>4.5924321496301621</v>
      </c>
      <c r="AU115" s="22">
        <v>1.6020000000000001</v>
      </c>
      <c r="AV115" s="22">
        <v>0.77989364760000002</v>
      </c>
      <c r="AW115" s="22">
        <v>14</v>
      </c>
      <c r="AX115" s="22">
        <v>28.7</v>
      </c>
      <c r="AY115" s="22">
        <v>1</v>
      </c>
      <c r="AZ115" s="24">
        <v>38659</v>
      </c>
      <c r="BA115" s="24">
        <f t="shared" si="29"/>
        <v>4.5872506158565578</v>
      </c>
      <c r="BB115" s="24">
        <v>27300</v>
      </c>
      <c r="BC115" s="24">
        <f t="shared" si="30"/>
        <v>4.4361626470407565</v>
      </c>
      <c r="BD115" s="24">
        <v>11359</v>
      </c>
      <c r="BE115" s="23">
        <v>-1488</v>
      </c>
      <c r="BF115" s="22">
        <f t="shared" si="50"/>
        <v>1415.5</v>
      </c>
      <c r="BG115" s="23">
        <v>-2.1079672375279226</v>
      </c>
      <c r="BH115" s="23">
        <v>-4.1099295677392622E-2</v>
      </c>
      <c r="BI115" s="23">
        <v>3.432763336144979E-2</v>
      </c>
      <c r="BJ115" s="23">
        <v>9.8223325499991784E-2</v>
      </c>
      <c r="BK115" s="23">
        <v>-2.1972656327525177</v>
      </c>
      <c r="BL115" s="23">
        <v>1343</v>
      </c>
      <c r="BM115" s="22">
        <v>1137</v>
      </c>
      <c r="BN115" s="22">
        <f t="shared" si="51"/>
        <v>1818.5</v>
      </c>
      <c r="BO115" s="22">
        <v>3.0557604646877348</v>
      </c>
      <c r="BP115" s="22">
        <v>2.9411003905946868E-2</v>
      </c>
      <c r="BQ115" s="22">
        <v>4.1530656931255933E-2</v>
      </c>
      <c r="BR115" s="22">
        <v>1.662313916921861E-2</v>
      </c>
      <c r="BS115" s="22">
        <v>1499</v>
      </c>
      <c r="BT115" s="22" t="e">
        <v>#NUM!</v>
      </c>
      <c r="BU115" s="22">
        <v>-4.1403121115867976E-2</v>
      </c>
      <c r="BV115" s="23">
        <v>400</v>
      </c>
      <c r="BW115" s="24">
        <v>10853</v>
      </c>
      <c r="BX115" s="22">
        <v>3.77</v>
      </c>
      <c r="BY115" s="22">
        <v>0.57634135020579291</v>
      </c>
      <c r="BZ115" s="25">
        <v>-0.51291989664082693</v>
      </c>
      <c r="CA115" s="23">
        <v>5.4867350811381188</v>
      </c>
      <c r="CB115" s="23">
        <v>548.67350811381186</v>
      </c>
      <c r="CC115" s="23">
        <v>2.7393139914376685</v>
      </c>
      <c r="CD115" s="23">
        <v>7.1555148383187932</v>
      </c>
      <c r="CE115" s="23">
        <v>4.4032796875923887</v>
      </c>
      <c r="CF115" s="23">
        <v>2.5503144654088046</v>
      </c>
      <c r="CG115" s="23">
        <f t="shared" si="31"/>
        <v>0.93621667133523589</v>
      </c>
      <c r="CH115" s="26">
        <v>23.4</v>
      </c>
      <c r="CI115" s="26">
        <v>17.75</v>
      </c>
      <c r="CJ115" s="26">
        <v>1.3692158574101427</v>
      </c>
      <c r="CK115" s="26">
        <v>1.249198357391113</v>
      </c>
      <c r="CL115" s="26">
        <v>0.31830985915492949</v>
      </c>
      <c r="CM115" s="27">
        <v>25.275999999999993</v>
      </c>
      <c r="CN115" s="27">
        <v>6.7666408261623831E-2</v>
      </c>
      <c r="CO115" s="27">
        <v>14.393934426229498</v>
      </c>
      <c r="CP115" s="27">
        <v>9.2697401180433139E-2</v>
      </c>
      <c r="CQ115" s="27">
        <v>94.493822393822356</v>
      </c>
      <c r="CR115" s="27">
        <v>7.2398848134946573E-3</v>
      </c>
      <c r="CS115" s="27">
        <v>1.0720384615384604</v>
      </c>
      <c r="CT115" s="27">
        <v>1.0575095785440605</v>
      </c>
      <c r="CU115" s="27">
        <v>1.37387720065881E-2</v>
      </c>
      <c r="CV115" s="27">
        <v>1.268846153846154</v>
      </c>
      <c r="CW115" s="27">
        <v>2.1034089675745258</v>
      </c>
      <c r="CX115" s="28">
        <v>0.92</v>
      </c>
      <c r="CY115" s="28">
        <v>0.92</v>
      </c>
      <c r="CZ115" s="29">
        <v>29.99596154</v>
      </c>
      <c r="DA115" s="27">
        <v>0.13600952487112158</v>
      </c>
      <c r="DB115" s="27">
        <v>1.9709466682529033</v>
      </c>
      <c r="DC115" s="27">
        <v>3.3676575479931978</v>
      </c>
      <c r="DD115" s="27">
        <v>1</v>
      </c>
      <c r="DE115" s="28">
        <v>1.62</v>
      </c>
      <c r="DF115" s="28">
        <v>102.584024</v>
      </c>
      <c r="DG115" s="28">
        <v>4.6306822091114004</v>
      </c>
      <c r="DH115" s="28">
        <v>1.0176000000000001</v>
      </c>
      <c r="DI115" s="28">
        <v>0.25159300000000001</v>
      </c>
      <c r="DJ115" s="27">
        <v>0.4</v>
      </c>
      <c r="DK115" s="27">
        <v>2.7</v>
      </c>
      <c r="DL115" s="27">
        <v>1.6688062333233E-2</v>
      </c>
      <c r="DM115" s="27">
        <v>0.77139999999999997</v>
      </c>
      <c r="DN115" s="28">
        <v>0.69699999999999995</v>
      </c>
      <c r="DO115" s="28">
        <v>-2.8165086447295033E-2</v>
      </c>
      <c r="DP115" s="28">
        <f>(DM115-DM114)/DM114</f>
        <v>3.2525766296345855E-2</v>
      </c>
      <c r="DQ115" s="27">
        <v>0.10270000000000001</v>
      </c>
      <c r="DR115" s="27">
        <v>2.4180879115385762E-2</v>
      </c>
      <c r="DS115" s="27">
        <v>2.0079372103467861E-2</v>
      </c>
      <c r="DT115" s="27">
        <v>3.4239891893164551E-2</v>
      </c>
      <c r="DU115" s="30">
        <v>8.9420310000000001</v>
      </c>
      <c r="DV115">
        <v>2.2000000000000002</v>
      </c>
      <c r="DW115">
        <v>2.4</v>
      </c>
      <c r="DX115">
        <v>102.1</v>
      </c>
      <c r="DY115">
        <v>102.1</v>
      </c>
      <c r="DZ115">
        <v>0.9</v>
      </c>
      <c r="EA115">
        <v>0.7</v>
      </c>
      <c r="EB115">
        <v>1.494866</v>
      </c>
    </row>
    <row r="116" spans="1:132" ht="18">
      <c r="A116" s="14" t="s">
        <v>155</v>
      </c>
      <c r="B116" s="14">
        <v>11</v>
      </c>
      <c r="C116" s="14" t="s">
        <v>137</v>
      </c>
      <c r="D116" s="14" t="s">
        <v>138</v>
      </c>
      <c r="E116" s="14" t="s">
        <v>156</v>
      </c>
      <c r="F116" s="15">
        <v>21694</v>
      </c>
      <c r="G116" s="15">
        <v>4.3363396358207824</v>
      </c>
      <c r="H116" s="15">
        <v>19920</v>
      </c>
      <c r="I116" s="15">
        <v>1396</v>
      </c>
      <c r="J116" s="16">
        <v>378</v>
      </c>
      <c r="K116" s="16">
        <v>1</v>
      </c>
      <c r="L116" s="17">
        <v>0.72436475341413742</v>
      </c>
      <c r="M116" s="18">
        <v>120</v>
      </c>
      <c r="N116" s="18">
        <v>10</v>
      </c>
      <c r="O116" s="18">
        <v>0.86419753086419759</v>
      </c>
      <c r="P116" s="18">
        <v>3</v>
      </c>
      <c r="Q116" s="18">
        <f t="shared" si="49"/>
        <v>2.6666666666666665</v>
      </c>
      <c r="R116" s="18">
        <v>120</v>
      </c>
      <c r="S116" s="18">
        <v>5</v>
      </c>
      <c r="T116" s="19">
        <v>13486</v>
      </c>
      <c r="U116" s="19">
        <v>4.1298831553406217</v>
      </c>
      <c r="V116" s="20">
        <v>54324</v>
      </c>
      <c r="W116" s="20">
        <v>4.7349917405428767</v>
      </c>
      <c r="X116" s="20">
        <v>0.48392958950969212</v>
      </c>
      <c r="Y116" s="20">
        <v>0.73583549039999996</v>
      </c>
      <c r="Z116" s="20">
        <f t="shared" si="27"/>
        <v>-0.13321926935461709</v>
      </c>
      <c r="AA116" s="20"/>
      <c r="AB116" s="20"/>
      <c r="AC116" s="20">
        <v>5117</v>
      </c>
      <c r="AE116" s="21"/>
      <c r="AF116" s="21"/>
      <c r="AG116" s="22">
        <v>0.1596714414504658</v>
      </c>
      <c r="AH116" s="22">
        <v>4782</v>
      </c>
      <c r="AI116" s="22">
        <v>1.15062983</v>
      </c>
      <c r="AJ116" s="23">
        <v>112256</v>
      </c>
      <c r="AK116" s="23">
        <f t="shared" si="37"/>
        <v>5.050209563013909</v>
      </c>
      <c r="AL116" s="24">
        <v>0.87571428600000001</v>
      </c>
      <c r="AM116" s="22">
        <v>20502</v>
      </c>
      <c r="AN116" s="22">
        <f t="shared" si="48"/>
        <v>0.68456375838926176</v>
      </c>
      <c r="AO116" s="23">
        <v>-0.24584415584415584</v>
      </c>
      <c r="AP116" s="33">
        <v>1.6723691999999998E-2</v>
      </c>
      <c r="AQ116" s="23">
        <v>0.22333216055667346</v>
      </c>
      <c r="AR116" s="23">
        <v>29949</v>
      </c>
      <c r="AS116" s="23">
        <v>4.4763823258327626</v>
      </c>
      <c r="AT116" s="23">
        <v>4.5587685518165841</v>
      </c>
      <c r="AU116" s="22">
        <v>2.17</v>
      </c>
      <c r="AV116" s="22">
        <v>1.05250344</v>
      </c>
      <c r="AW116" s="22">
        <v>10.87</v>
      </c>
      <c r="AX116" s="22">
        <v>14</v>
      </c>
      <c r="AY116" s="22">
        <v>1</v>
      </c>
      <c r="AZ116" s="24">
        <v>15400</v>
      </c>
      <c r="BA116" s="24">
        <f t="shared" si="29"/>
        <v>4.1875207208364627</v>
      </c>
      <c r="BB116" s="24">
        <v>9841</v>
      </c>
      <c r="BC116" s="24">
        <f t="shared" si="30"/>
        <v>3.9930392318069097</v>
      </c>
      <c r="BD116" s="24">
        <v>5559</v>
      </c>
      <c r="BE116" s="23">
        <v>-3786</v>
      </c>
      <c r="BF116" s="22">
        <f t="shared" si="50"/>
        <v>1149</v>
      </c>
      <c r="BG116" s="23">
        <v>1.5443548387096775</v>
      </c>
      <c r="BH116" s="23">
        <v>-0.12641490533907643</v>
      </c>
      <c r="BI116" s="23">
        <v>-4.1099295677392622E-2</v>
      </c>
      <c r="BJ116" s="23">
        <v>9.8223325499991784E-2</v>
      </c>
      <c r="BK116" s="23">
        <v>2.0758411611567622</v>
      </c>
      <c r="BL116" s="23">
        <v>-1488</v>
      </c>
      <c r="BM116" s="22">
        <v>-354</v>
      </c>
      <c r="BN116" s="22">
        <f t="shared" si="51"/>
        <v>745.5</v>
      </c>
      <c r="BO116" s="22" t="e">
        <v>#NUM!</v>
      </c>
      <c r="BP116" s="22">
        <v>-2.2987012987012986E-2</v>
      </c>
      <c r="BQ116" s="22">
        <v>2.6199008446479929E-2</v>
      </c>
      <c r="BR116" s="22">
        <v>4.1530656931255933E-2</v>
      </c>
      <c r="BS116" s="22">
        <v>562</v>
      </c>
      <c r="BT116" s="22" t="e">
        <v>#NUM!</v>
      </c>
      <c r="BU116" s="22">
        <v>-1.8765234231526928E-2</v>
      </c>
      <c r="BV116" s="23">
        <v>97</v>
      </c>
      <c r="BW116" s="24">
        <v>9943</v>
      </c>
      <c r="BX116" s="22">
        <v>2.93</v>
      </c>
      <c r="BY116" s="22">
        <v>0.4668676203541095</v>
      </c>
      <c r="BZ116" s="25">
        <v>-0.22281167108753311</v>
      </c>
      <c r="CA116" s="23">
        <v>4.4032796875923887</v>
      </c>
      <c r="CB116" s="23">
        <v>440.3279687592389</v>
      </c>
      <c r="CC116" s="23">
        <v>2.6437762718597724</v>
      </c>
      <c r="CD116" s="23">
        <v>5.4867350811381188</v>
      </c>
      <c r="CE116" s="23">
        <v>6.2008976810073415</v>
      </c>
      <c r="CF116" s="23">
        <v>3.3543307086614171</v>
      </c>
      <c r="CG116" s="23">
        <f t="shared" si="31"/>
        <v>1.210252259810779</v>
      </c>
      <c r="CH116" s="26">
        <v>18.02</v>
      </c>
      <c r="CI116" s="26">
        <v>23.4</v>
      </c>
      <c r="CJ116" s="26">
        <v>1.2557547866430441</v>
      </c>
      <c r="CK116" s="26">
        <v>1.3692158574101427</v>
      </c>
      <c r="CL116" s="26">
        <v>-0.22991452991452987</v>
      </c>
      <c r="CM116" s="27">
        <v>18.608429118773955</v>
      </c>
      <c r="CN116" s="27">
        <v>-0.26379058716672099</v>
      </c>
      <c r="CO116" s="27">
        <v>10.244782608695646</v>
      </c>
      <c r="CP116" s="27">
        <v>-0.28825696259759365</v>
      </c>
      <c r="CQ116" s="27">
        <v>71.254230769230816</v>
      </c>
      <c r="CR116" s="27">
        <v>-0.24593768180670883</v>
      </c>
      <c r="CS116" s="27">
        <v>0.83494252873563157</v>
      </c>
      <c r="CT116" s="27">
        <v>1.0720384615384604</v>
      </c>
      <c r="CU116" s="27">
        <v>-0.22116364413136569</v>
      </c>
      <c r="CV116" s="27">
        <v>0.95088122605364045</v>
      </c>
      <c r="CW116" s="27">
        <v>1.9781262728880398</v>
      </c>
      <c r="CX116" s="28">
        <v>0.54</v>
      </c>
      <c r="CY116" s="28">
        <v>0.92</v>
      </c>
      <c r="CZ116" s="29">
        <v>24.56237548</v>
      </c>
      <c r="DA116" s="27">
        <v>-0.18114392008251654</v>
      </c>
      <c r="DB116" s="27">
        <v>1.7682050254071211</v>
      </c>
      <c r="DC116" s="27">
        <v>1.9709466682529033</v>
      </c>
      <c r="DD116" s="27">
        <v>1</v>
      </c>
      <c r="DE116" s="28">
        <v>1.32</v>
      </c>
      <c r="DF116" s="28">
        <v>105.61390900000001</v>
      </c>
      <c r="DG116" s="28">
        <v>4.659790076613783</v>
      </c>
      <c r="DH116" s="28">
        <v>1.039156</v>
      </c>
      <c r="DI116" s="28">
        <v>0.23790900000000001</v>
      </c>
      <c r="DJ116" s="27">
        <v>-1</v>
      </c>
      <c r="DK116" s="27">
        <v>1.9</v>
      </c>
      <c r="DL116" s="27">
        <v>1.6829215601661535E-2</v>
      </c>
      <c r="DM116" s="27">
        <v>0.75800000000000001</v>
      </c>
      <c r="DN116" s="28">
        <v>0.74839999999999995</v>
      </c>
      <c r="DO116" s="28">
        <v>7.3744619799139169E-2</v>
      </c>
      <c r="DP116" s="28">
        <f t="shared" si="52"/>
        <v>-1.7371013741249636E-2</v>
      </c>
      <c r="DQ116" s="27">
        <v>8.4699999999999998E-2</v>
      </c>
      <c r="DR116" s="27">
        <v>2.0079372103467861E-2</v>
      </c>
      <c r="DS116" s="27">
        <v>1.50675227484701E-2</v>
      </c>
      <c r="DT116" s="27">
        <v>2.4180879115385762E-2</v>
      </c>
      <c r="DU116" s="30">
        <v>8.0652849999999994</v>
      </c>
      <c r="DV116">
        <v>0.9</v>
      </c>
      <c r="DW116">
        <v>1.4</v>
      </c>
      <c r="DX116">
        <v>103.9</v>
      </c>
      <c r="DY116">
        <v>103.8</v>
      </c>
      <c r="DZ116">
        <v>0.1</v>
      </c>
      <c r="EA116">
        <v>0</v>
      </c>
      <c r="EB116">
        <v>1.826854</v>
      </c>
    </row>
    <row r="117" spans="1:132" ht="18">
      <c r="A117" s="14" t="s">
        <v>155</v>
      </c>
      <c r="B117" s="14">
        <v>12</v>
      </c>
      <c r="C117" s="14" t="s">
        <v>137</v>
      </c>
      <c r="D117" s="14" t="s">
        <v>138</v>
      </c>
      <c r="E117" s="14" t="s">
        <v>156</v>
      </c>
      <c r="F117" s="15">
        <v>10193</v>
      </c>
      <c r="G117" s="15">
        <v>4.0083020242120018</v>
      </c>
      <c r="H117" s="15">
        <v>9260</v>
      </c>
      <c r="I117" s="15">
        <v>555</v>
      </c>
      <c r="J117" s="16">
        <v>378</v>
      </c>
      <c r="K117" s="16">
        <v>1</v>
      </c>
      <c r="L117" s="17">
        <v>0.40462863721170261</v>
      </c>
      <c r="M117" s="18">
        <v>120</v>
      </c>
      <c r="N117" s="18">
        <v>10</v>
      </c>
      <c r="O117" s="18">
        <v>0.86419753086419759</v>
      </c>
      <c r="P117" s="18">
        <v>3</v>
      </c>
      <c r="Q117" s="18">
        <f t="shared" si="49"/>
        <v>2.6666666666666665</v>
      </c>
      <c r="R117" s="18">
        <v>120</v>
      </c>
      <c r="S117" s="18">
        <v>5</v>
      </c>
      <c r="T117" s="19">
        <v>11167</v>
      </c>
      <c r="U117" s="19">
        <v>4.0479365161380789</v>
      </c>
      <c r="V117" s="20"/>
      <c r="W117" s="20"/>
      <c r="X117" s="20"/>
      <c r="Y117" s="20">
        <v>0.87541215260000005</v>
      </c>
      <c r="Z117" s="20">
        <f t="shared" si="27"/>
        <v>-5.7787428741311216E-2</v>
      </c>
      <c r="AA117" s="20"/>
      <c r="AB117" s="20"/>
      <c r="AC117" s="20">
        <v>3717</v>
      </c>
      <c r="AE117" s="21"/>
      <c r="AF117" s="21"/>
      <c r="AG117" s="22">
        <v>0.10396570203644159</v>
      </c>
      <c r="AH117" s="22">
        <v>2619</v>
      </c>
      <c r="AI117" s="22">
        <v>3.2432432430000002</v>
      </c>
      <c r="AJ117" s="23">
        <v>55244</v>
      </c>
      <c r="AK117" s="23">
        <f t="shared" si="37"/>
        <v>4.7422851165944104</v>
      </c>
      <c r="AL117" s="24">
        <v>0.87866865999999999</v>
      </c>
      <c r="AM117" s="22">
        <v>18531</v>
      </c>
      <c r="AN117" s="22">
        <f t="shared" si="48"/>
        <v>0.73561986423722758</v>
      </c>
      <c r="AO117" s="23">
        <v>-5.8147769297348335E-2</v>
      </c>
      <c r="AP117" s="33">
        <v>7.2558978999999996E-2</v>
      </c>
      <c r="AQ117" s="23">
        <v>0.86069116300207027</v>
      </c>
      <c r="AR117" s="23">
        <v>25191</v>
      </c>
      <c r="AS117" s="23">
        <v>4.4012454079054875</v>
      </c>
      <c r="AT117" s="23">
        <v>4.4763823258327626</v>
      </c>
      <c r="AU117" s="22">
        <v>2.782</v>
      </c>
      <c r="AV117" s="22">
        <v>1.2768768770000001</v>
      </c>
      <c r="AW117" s="22">
        <v>21.6</v>
      </c>
      <c r="AX117" s="22">
        <v>10.87</v>
      </c>
      <c r="AY117" s="22">
        <v>1</v>
      </c>
      <c r="AZ117" s="24">
        <v>12709</v>
      </c>
      <c r="BA117" s="24">
        <f t="shared" si="29"/>
        <v>4.1041113796989688</v>
      </c>
      <c r="BB117" s="24">
        <v>7364</v>
      </c>
      <c r="BC117" s="24">
        <f t="shared" si="30"/>
        <v>3.867113779831977</v>
      </c>
      <c r="BD117" s="24">
        <v>5345</v>
      </c>
      <c r="BE117" s="23">
        <v>-739</v>
      </c>
      <c r="BF117" s="22">
        <f t="shared" si="50"/>
        <v>1523.5</v>
      </c>
      <c r="BG117" s="23">
        <v>-0.80480718436344423</v>
      </c>
      <c r="BH117" s="23">
        <v>-2.9335873923226549E-2</v>
      </c>
      <c r="BI117" s="23">
        <v>-0.12641490533907643</v>
      </c>
      <c r="BJ117" s="23">
        <v>9.8223325499991784E-2</v>
      </c>
      <c r="BK117" s="23">
        <v>-0.76793975485295507</v>
      </c>
      <c r="BL117" s="23">
        <v>-3786</v>
      </c>
      <c r="BM117" s="22">
        <v>72</v>
      </c>
      <c r="BN117" s="22">
        <f t="shared" si="51"/>
        <v>213</v>
      </c>
      <c r="BO117" s="22">
        <v>1.8573324964312685</v>
      </c>
      <c r="BP117" s="22">
        <v>5.6652765756550474E-3</v>
      </c>
      <c r="BQ117" s="22">
        <v>1.4326144781334017E-2</v>
      </c>
      <c r="BR117" s="22">
        <v>2.6199008446479929E-2</v>
      </c>
      <c r="BS117" s="22">
        <v>-691</v>
      </c>
      <c r="BT117" s="22">
        <v>2.8394780473741985</v>
      </c>
      <c r="BU117" s="22">
        <v>2.7430431503314676E-2</v>
      </c>
      <c r="BV117" s="23">
        <v>1168</v>
      </c>
      <c r="BW117" s="24">
        <v>8504</v>
      </c>
      <c r="BX117" s="22">
        <v>5.82</v>
      </c>
      <c r="BY117" s="22">
        <v>0.7649229846498885</v>
      </c>
      <c r="BZ117" s="25">
        <v>0.98634812286689422</v>
      </c>
      <c r="CA117" s="23">
        <v>6.2008976810073415</v>
      </c>
      <c r="CB117" s="23">
        <v>620.0897681007342</v>
      </c>
      <c r="CC117" s="23">
        <v>2.7924545652543009</v>
      </c>
      <c r="CD117" s="23">
        <v>4.4032796875923887</v>
      </c>
      <c r="CE117" s="23">
        <v>3.2328964967901963</v>
      </c>
      <c r="CF117" s="23">
        <v>2.6181818181818177</v>
      </c>
      <c r="CG117" s="23">
        <f t="shared" si="31"/>
        <v>0.96248011434352954</v>
      </c>
      <c r="CH117" s="26">
        <v>13.72</v>
      </c>
      <c r="CI117" s="26">
        <v>18.02</v>
      </c>
      <c r="CJ117" s="26">
        <v>1.1373541113707328</v>
      </c>
      <c r="CK117" s="26">
        <v>1.2557547866430441</v>
      </c>
      <c r="CL117" s="26">
        <v>-0.23862375138734734</v>
      </c>
      <c r="CM117" s="27">
        <v>14.834099616858232</v>
      </c>
      <c r="CN117" s="27">
        <v>-0.20282902322516949</v>
      </c>
      <c r="CO117" s="27">
        <v>8.3248809523809495</v>
      </c>
      <c r="CP117" s="27">
        <v>-0.18740286930882333</v>
      </c>
      <c r="CQ117" s="27">
        <v>73.031538461538446</v>
      </c>
      <c r="CR117" s="27">
        <v>2.494318825872599E-2</v>
      </c>
      <c r="CS117" s="27">
        <v>0.8023754789272034</v>
      </c>
      <c r="CT117" s="27">
        <v>0.83494252873563157</v>
      </c>
      <c r="CU117" s="27">
        <v>-3.9005139500733109E-2</v>
      </c>
      <c r="CV117" s="27">
        <v>0.96896551724137914</v>
      </c>
      <c r="CW117" s="27">
        <v>1.9863083220061237</v>
      </c>
      <c r="CX117" s="28">
        <v>0.62</v>
      </c>
      <c r="CY117" s="28">
        <v>0.54</v>
      </c>
      <c r="CZ117" s="29">
        <v>18.565019159999999</v>
      </c>
      <c r="DA117" s="27">
        <v>-0.24416841623821645</v>
      </c>
      <c r="DB117" s="27">
        <v>1.1698744465812936</v>
      </c>
      <c r="DC117" s="27">
        <v>1.7682050254071211</v>
      </c>
      <c r="DD117" s="27">
        <v>1</v>
      </c>
      <c r="DE117" s="28">
        <v>1.64</v>
      </c>
      <c r="DF117" s="28">
        <v>108.207936</v>
      </c>
      <c r="DG117" s="28">
        <v>4.6840547093789127</v>
      </c>
      <c r="DH117" s="28">
        <v>1.0581290000000001</v>
      </c>
      <c r="DI117" s="28">
        <v>0.229627</v>
      </c>
      <c r="DJ117" s="27">
        <v>-0.6</v>
      </c>
      <c r="DK117" s="27">
        <v>1.3</v>
      </c>
      <c r="DL117" s="27">
        <v>1.2152522197973097E-2</v>
      </c>
      <c r="DM117" s="27">
        <v>0.72770000000000001</v>
      </c>
      <c r="DN117" s="28">
        <v>0.77380000000000004</v>
      </c>
      <c r="DO117" s="28">
        <v>3.3939070016034328E-2</v>
      </c>
      <c r="DP117" s="28">
        <f>(DM117-DM116)/DM116</f>
        <v>-3.9973614775725586E-2</v>
      </c>
      <c r="DQ117" s="27">
        <v>5.8499999999999996E-2</v>
      </c>
      <c r="DR117" s="27">
        <v>1.50675227484701E-2</v>
      </c>
      <c r="DS117" s="27">
        <v>3.1335239457349999E-2</v>
      </c>
      <c r="DT117" s="27">
        <v>2.0079372103467861E-2</v>
      </c>
      <c r="DU117" s="30">
        <v>7.3719619999999999</v>
      </c>
      <c r="DV117">
        <v>1.5</v>
      </c>
      <c r="DW117">
        <v>2.1</v>
      </c>
      <c r="DX117">
        <v>105.4</v>
      </c>
      <c r="DY117">
        <v>105.7</v>
      </c>
      <c r="DZ117">
        <v>0.2</v>
      </c>
      <c r="EA117">
        <v>0.8</v>
      </c>
      <c r="EB117">
        <v>1.343728</v>
      </c>
    </row>
    <row r="118" spans="1:132" ht="18">
      <c r="A118" s="14" t="s">
        <v>155</v>
      </c>
      <c r="B118" s="14">
        <v>13</v>
      </c>
      <c r="C118" s="14" t="s">
        <v>137</v>
      </c>
      <c r="D118" s="14" t="s">
        <v>138</v>
      </c>
      <c r="E118" s="14" t="s">
        <v>156</v>
      </c>
      <c r="F118" s="15">
        <v>9913</v>
      </c>
      <c r="G118" s="15">
        <v>3.9962051061783246</v>
      </c>
      <c r="H118" s="15">
        <v>8915</v>
      </c>
      <c r="I118" s="15">
        <v>620</v>
      </c>
      <c r="J118" s="16">
        <v>378</v>
      </c>
      <c r="K118" s="16">
        <v>1</v>
      </c>
      <c r="L118" s="17">
        <v>0.47063571191188341</v>
      </c>
      <c r="M118" s="18">
        <v>120</v>
      </c>
      <c r="N118" s="18">
        <v>10</v>
      </c>
      <c r="O118" s="18">
        <v>0.86419753086419759</v>
      </c>
      <c r="P118" s="18">
        <v>3</v>
      </c>
      <c r="Q118" s="18">
        <f t="shared" si="49"/>
        <v>2.6666666666666665</v>
      </c>
      <c r="R118" s="18">
        <v>120</v>
      </c>
      <c r="S118" s="18">
        <v>5</v>
      </c>
      <c r="T118" s="19">
        <v>11220</v>
      </c>
      <c r="U118" s="19">
        <v>4.0499928569201424</v>
      </c>
      <c r="V118" s="20">
        <v>35188</v>
      </c>
      <c r="W118" s="20">
        <v>4.5463945832987447</v>
      </c>
      <c r="X118" s="20">
        <v>0.57071493447515242</v>
      </c>
      <c r="Y118" s="20">
        <v>0.8418297052</v>
      </c>
      <c r="Z118" s="20">
        <f t="shared" si="27"/>
        <v>-7.4775753597702777E-2</v>
      </c>
      <c r="AA118" s="20"/>
      <c r="AB118" s="20"/>
      <c r="AC118" s="20">
        <v>3055</v>
      </c>
      <c r="AE118" s="21"/>
      <c r="AF118" s="21"/>
      <c r="AG118" s="22">
        <v>0.11835920809001567</v>
      </c>
      <c r="AH118" s="22">
        <v>2493</v>
      </c>
      <c r="AI118" s="22">
        <v>2.7684854080000001</v>
      </c>
      <c r="AJ118" s="23">
        <v>61656</v>
      </c>
      <c r="AK118" s="23">
        <f t="shared" si="37"/>
        <v>4.7899753459779522</v>
      </c>
      <c r="AL118" s="24">
        <v>0.88124410900000005</v>
      </c>
      <c r="AM118" s="22">
        <v>12394</v>
      </c>
      <c r="AN118" s="22">
        <f t="shared" si="48"/>
        <v>0.58842520058871006</v>
      </c>
      <c r="AO118" s="23">
        <v>0.2730128809299403</v>
      </c>
      <c r="AP118" s="33">
        <v>7.1126720000000004E-2</v>
      </c>
      <c r="AQ118" s="23">
        <v>0.8520327817226625</v>
      </c>
      <c r="AR118" s="23">
        <v>21063</v>
      </c>
      <c r="AS118" s="23">
        <v>4.3235202277543374</v>
      </c>
      <c r="AT118" s="23">
        <v>4.4012454079054875</v>
      </c>
      <c r="AU118" s="22">
        <v>1.43</v>
      </c>
      <c r="AV118" s="22">
        <v>0.57734456109999999</v>
      </c>
      <c r="AW118" s="22">
        <v>24</v>
      </c>
      <c r="AX118" s="22">
        <v>21.6</v>
      </c>
      <c r="AY118" s="22">
        <v>1</v>
      </c>
      <c r="AZ118" s="24">
        <v>12732</v>
      </c>
      <c r="BA118" s="24">
        <f t="shared" si="29"/>
        <v>4.1048966299489651</v>
      </c>
      <c r="BB118" s="24">
        <v>7094</v>
      </c>
      <c r="BC118" s="24">
        <f t="shared" si="30"/>
        <v>3.8508911841359241</v>
      </c>
      <c r="BD118" s="24">
        <v>5638</v>
      </c>
      <c r="BE118" s="23">
        <v>3476</v>
      </c>
      <c r="BF118" s="22">
        <f t="shared" si="50"/>
        <v>2107.5</v>
      </c>
      <c r="BG118" s="23">
        <v>-5.7036535859269284</v>
      </c>
      <c r="BH118" s="23">
        <v>0.16502872335374827</v>
      </c>
      <c r="BI118" s="23">
        <v>-2.9335873923226549E-2</v>
      </c>
      <c r="BJ118" s="23">
        <v>9.8223325499991784E-2</v>
      </c>
      <c r="BK118" s="23">
        <v>-6.6254919756485418</v>
      </c>
      <c r="BL118" s="23">
        <v>-739</v>
      </c>
      <c r="BM118" s="22">
        <v>1275</v>
      </c>
      <c r="BN118" s="22">
        <f>STDEVP(BM117:BM118)</f>
        <v>601.5</v>
      </c>
      <c r="BO118" s="22">
        <v>3.1055101847699738</v>
      </c>
      <c r="BP118" s="22">
        <v>0.10014137606032045</v>
      </c>
      <c r="BQ118" s="22">
        <v>4.7238049742332693E-2</v>
      </c>
      <c r="BR118" s="22">
        <v>1.4326144781334017E-2</v>
      </c>
      <c r="BS118" s="22">
        <v>886</v>
      </c>
      <c r="BT118" s="22" t="e">
        <v>#NUM!</v>
      </c>
      <c r="BU118" s="22">
        <v>-4.2064283340454825E-2</v>
      </c>
      <c r="BV118" s="23">
        <v>3690</v>
      </c>
      <c r="BW118" s="24">
        <v>5005</v>
      </c>
      <c r="BX118" s="22">
        <v>6.56</v>
      </c>
      <c r="BY118" s="22">
        <v>0.81690383937566025</v>
      </c>
      <c r="BZ118" s="25">
        <v>0.12714776632302394</v>
      </c>
      <c r="CA118" s="23">
        <v>3.2328964967901963</v>
      </c>
      <c r="CB118" s="23">
        <v>323.28964967901965</v>
      </c>
      <c r="CC118" s="23">
        <v>2.5095918006237943</v>
      </c>
      <c r="CD118" s="23">
        <v>6.2008976810073415</v>
      </c>
      <c r="CE118" s="23">
        <v>4.1302630899999997</v>
      </c>
      <c r="CF118" s="23">
        <v>1.4935760171306209</v>
      </c>
      <c r="CG118" s="23">
        <f t="shared" si="31"/>
        <v>0.40117325602662335</v>
      </c>
      <c r="CH118" s="26">
        <v>19.2</v>
      </c>
      <c r="CI118" s="26">
        <v>13.72</v>
      </c>
      <c r="CJ118" s="26">
        <v>1.2833012287035497</v>
      </c>
      <c r="CK118" s="26">
        <v>1.1373541113707328</v>
      </c>
      <c r="CL118" s="26">
        <v>0.39941690962099113</v>
      </c>
      <c r="CM118" s="27">
        <v>14.883180076628348</v>
      </c>
      <c r="CN118" s="27">
        <v>3.3086241186042575E-3</v>
      </c>
      <c r="CO118" s="27">
        <v>6.9159523809523806</v>
      </c>
      <c r="CP118" s="27">
        <v>-0.16924308941926786</v>
      </c>
      <c r="CQ118" s="27">
        <v>64.583076923076902</v>
      </c>
      <c r="CR118" s="27">
        <v>-0.11568237115682381</v>
      </c>
      <c r="CS118" s="27">
        <v>0.66574712643678124</v>
      </c>
      <c r="CT118" s="27">
        <v>0.8023754789272034</v>
      </c>
      <c r="CU118" s="27">
        <v>-0.1702798204564997</v>
      </c>
      <c r="CV118" s="27">
        <v>0.67685823754789287</v>
      </c>
      <c r="CW118" s="27">
        <v>1.8304977187626064</v>
      </c>
      <c r="CX118" s="28">
        <v>1.33</v>
      </c>
      <c r="CY118" s="28">
        <v>0.62</v>
      </c>
      <c r="CZ118" s="29">
        <v>18.278045980000002</v>
      </c>
      <c r="DA118" s="27">
        <v>-1.5457736807420394E-2</v>
      </c>
      <c r="DC118" s="27">
        <v>1.1698744465812936</v>
      </c>
      <c r="DD118" s="27">
        <v>1</v>
      </c>
      <c r="DE118" s="28">
        <v>1.24</v>
      </c>
      <c r="DF118" s="28">
        <v>109.414888</v>
      </c>
      <c r="DG118" s="28">
        <v>4.6951469684801541</v>
      </c>
      <c r="DH118" s="28">
        <v>1.074665</v>
      </c>
      <c r="DI118" s="28">
        <v>0.215724</v>
      </c>
      <c r="DJ118" s="27">
        <v>0.3</v>
      </c>
      <c r="DK118" s="27">
        <v>1</v>
      </c>
      <c r="DL118" s="27">
        <v>1.7108786898118553E-2</v>
      </c>
      <c r="DM118" s="27">
        <v>0.8266</v>
      </c>
      <c r="DN118" s="28">
        <v>0.75860000000000005</v>
      </c>
      <c r="DO118" s="28">
        <v>-1.9643318686999211E-2</v>
      </c>
      <c r="DP118" s="28">
        <f t="shared" si="52"/>
        <v>0.13590765425312626</v>
      </c>
      <c r="DQ118" s="27">
        <v>0.10860000000000003</v>
      </c>
      <c r="DR118" s="27">
        <v>3.1335239457349999E-2</v>
      </c>
      <c r="DS118" s="27">
        <v>2.7611694356583942E-2</v>
      </c>
      <c r="DT118" s="27">
        <v>1.50675227484701E-2</v>
      </c>
      <c r="DU118" s="30">
        <v>6.1553740000000001</v>
      </c>
      <c r="DV118">
        <v>1.6</v>
      </c>
      <c r="DW118">
        <v>2.2999999999999998</v>
      </c>
      <c r="DX118">
        <v>107</v>
      </c>
      <c r="DY118">
        <v>107.5</v>
      </c>
      <c r="DZ118">
        <v>0.4</v>
      </c>
      <c r="EA118">
        <v>1.1000000000000001</v>
      </c>
      <c r="EB118">
        <v>1.4054869999999999</v>
      </c>
    </row>
    <row r="119" spans="1:132" ht="18">
      <c r="A119" s="14" t="s">
        <v>157</v>
      </c>
      <c r="B119" s="14">
        <v>1</v>
      </c>
      <c r="C119" s="14" t="s">
        <v>141</v>
      </c>
      <c r="D119" s="14" t="s">
        <v>142</v>
      </c>
      <c r="E119" s="14" t="s">
        <v>145</v>
      </c>
      <c r="F119" s="15">
        <v>2511</v>
      </c>
      <c r="G119" s="15">
        <v>3.3998467127129226</v>
      </c>
      <c r="H119" s="15">
        <v>1702</v>
      </c>
      <c r="I119" s="15">
        <v>809</v>
      </c>
      <c r="J119" s="16">
        <v>0</v>
      </c>
      <c r="K119" s="16">
        <v>1</v>
      </c>
      <c r="L119" s="17">
        <v>0.26546146527117032</v>
      </c>
      <c r="M119" s="18">
        <v>100</v>
      </c>
      <c r="N119" s="18">
        <v>59</v>
      </c>
      <c r="O119" s="18">
        <v>0.95660899653979248</v>
      </c>
      <c r="P119" s="18">
        <v>2</v>
      </c>
      <c r="Q119" s="18">
        <f>(2+3+1)/3</f>
        <v>2</v>
      </c>
      <c r="R119" s="18">
        <v>100</v>
      </c>
      <c r="S119" s="18">
        <v>5</v>
      </c>
      <c r="T119" s="19">
        <v>3151</v>
      </c>
      <c r="U119" s="19">
        <v>3.4984484031739997</v>
      </c>
      <c r="V119" s="20">
        <v>10958</v>
      </c>
      <c r="W119" s="20">
        <v>4.0397312960986911</v>
      </c>
      <c r="X119" s="20">
        <v>0.33783450487113087</v>
      </c>
      <c r="Y119" s="20">
        <v>0.40841669539999997</v>
      </c>
      <c r="Z119" s="20">
        <f t="shared" si="27"/>
        <v>-0.3888965129810813</v>
      </c>
      <c r="AA119" s="20"/>
      <c r="AB119" s="20"/>
      <c r="AC119" s="20">
        <v>1184</v>
      </c>
      <c r="AD119" s="21">
        <v>7</v>
      </c>
      <c r="AE119" s="21">
        <f t="shared" ref="AE119:AE139" si="53">AD119/AR119</f>
        <v>7.4003594460302362E-4</v>
      </c>
      <c r="AF119" s="21">
        <f t="shared" ref="AF119:AF139" si="54">LOG(AD119)</f>
        <v>0.84509804001425681</v>
      </c>
      <c r="AG119" s="23">
        <v>0.12876625436092609</v>
      </c>
      <c r="AH119" s="22">
        <v>1218</v>
      </c>
      <c r="AI119" s="22">
        <v>29.119453920000002</v>
      </c>
      <c r="AJ119" s="22">
        <v>32436</v>
      </c>
      <c r="AK119" s="23">
        <f t="shared" si="37"/>
        <v>4.5110272917463501</v>
      </c>
      <c r="AL119" s="24">
        <v>0.42306659499999999</v>
      </c>
      <c r="AM119" s="22">
        <f>65+786+10+596+1599+351</f>
        <v>3407</v>
      </c>
      <c r="AN119" s="22">
        <f t="shared" si="48"/>
        <v>0.36018606618035731</v>
      </c>
      <c r="AO119" s="23">
        <v>0.23617078410311493</v>
      </c>
      <c r="AP119" s="23">
        <v>4.0631899459764448E-3</v>
      </c>
      <c r="AQ119" s="23">
        <v>-0.39113287480348735</v>
      </c>
      <c r="AR119" s="22">
        <v>9459</v>
      </c>
      <c r="AS119" s="23">
        <v>3.9758452254675669</v>
      </c>
      <c r="AT119" s="23">
        <f>LOG(9967)</f>
        <v>3.9985644582609416</v>
      </c>
      <c r="AU119" s="22">
        <v>0.69099999999999995</v>
      </c>
      <c r="AV119" s="22">
        <v>0.28395904440000003</v>
      </c>
      <c r="AW119" s="22">
        <v>42.66</v>
      </c>
      <c r="AX119" s="22"/>
      <c r="AY119" s="22">
        <v>1</v>
      </c>
      <c r="AZ119" s="24">
        <v>7448</v>
      </c>
      <c r="BA119" s="24">
        <f t="shared" si="29"/>
        <v>3.872039667973286</v>
      </c>
      <c r="BB119" s="24">
        <v>1378</v>
      </c>
      <c r="BC119" s="24">
        <f t="shared" si="30"/>
        <v>3.1392492175716069</v>
      </c>
      <c r="BD119" s="24">
        <v>6070</v>
      </c>
      <c r="BE119" s="22">
        <v>1759</v>
      </c>
      <c r="BF119" s="22">
        <v>87</v>
      </c>
      <c r="BG119" s="23">
        <v>0.10977917981072555</v>
      </c>
      <c r="BH119" s="23">
        <v>0.18596046093667407</v>
      </c>
      <c r="BI119" s="23">
        <v>0.15902478177987359</v>
      </c>
      <c r="BJ119" s="23">
        <v>5.6992482676022388E-2</v>
      </c>
      <c r="BK119" s="23">
        <v>0.16938038748001916</v>
      </c>
      <c r="BL119" s="22">
        <v>1376</v>
      </c>
      <c r="BM119" s="22">
        <v>1676</v>
      </c>
      <c r="BN119" s="22"/>
      <c r="BO119" s="22">
        <v>3.2242740142942576</v>
      </c>
      <c r="BP119" s="22">
        <v>0.22502685284640173</v>
      </c>
      <c r="BQ119" s="22">
        <v>2.7591382454727302E-2</v>
      </c>
      <c r="BR119" s="22"/>
      <c r="BS119" s="22">
        <v>-1409</v>
      </c>
      <c r="BT119" s="22">
        <v>3.1489109931093564</v>
      </c>
      <c r="BU119" s="22">
        <v>0.14895866370652289</v>
      </c>
      <c r="BV119" s="23">
        <v>3000</v>
      </c>
      <c r="BW119" s="22">
        <v>416</v>
      </c>
      <c r="BX119" s="22">
        <v>58.25</v>
      </c>
      <c r="BY119" s="22">
        <v>1.7652959296980566</v>
      </c>
      <c r="BZ119" s="25">
        <v>-0.30489260143198088</v>
      </c>
      <c r="CA119" s="23">
        <v>2.9289569919413454</v>
      </c>
      <c r="CB119" s="23">
        <v>292.89569919413452</v>
      </c>
      <c r="CC119" s="23">
        <v>2.466712994658832</v>
      </c>
      <c r="CD119" s="23">
        <v>2.6436985700000002</v>
      </c>
      <c r="CE119" s="23">
        <v>3.9910305202485357</v>
      </c>
      <c r="CF119" s="23">
        <v>1.6934511852149456</v>
      </c>
      <c r="CG119" s="23">
        <f t="shared" si="31"/>
        <v>0.52676856806836381</v>
      </c>
      <c r="CH119" s="26">
        <v>28.62</v>
      </c>
      <c r="CI119" s="26">
        <v>23.8</v>
      </c>
      <c r="CJ119" s="26">
        <v>1.4566696294237576</v>
      </c>
      <c r="CK119" s="26">
        <v>1.3765769570565121</v>
      </c>
      <c r="CL119" s="26">
        <v>0.20252100840336135</v>
      </c>
      <c r="CM119" s="27">
        <v>28.164291187739472</v>
      </c>
      <c r="CN119" s="27">
        <v>5.6821432935815153E-2</v>
      </c>
      <c r="CQ119" s="27">
        <v>125.09884615384618</v>
      </c>
      <c r="CR119" s="27">
        <v>0.13726223776223803</v>
      </c>
      <c r="CS119" s="27">
        <v>0.92386973180076593</v>
      </c>
      <c r="CT119" s="27">
        <v>1.0645593900000001</v>
      </c>
      <c r="CU119" s="27">
        <v>-0.12842478132003218</v>
      </c>
      <c r="CX119" s="28">
        <v>0.76</v>
      </c>
      <c r="CY119" s="28">
        <v>0.82</v>
      </c>
      <c r="CZ119" s="29">
        <v>37.275402300000003</v>
      </c>
      <c r="DA119" s="27">
        <v>0.32652677224199295</v>
      </c>
      <c r="DB119" s="27">
        <v>2.5105365885464708</v>
      </c>
      <c r="DC119" s="27">
        <v>1.25643310503606</v>
      </c>
      <c r="DD119" s="27">
        <v>1</v>
      </c>
      <c r="DE119" s="27">
        <v>1.5</v>
      </c>
      <c r="DF119" s="27">
        <v>87.3</v>
      </c>
      <c r="DG119" s="28">
        <v>4.4693504628455569</v>
      </c>
      <c r="DH119" s="27">
        <v>0.88536000000000004</v>
      </c>
      <c r="DI119" s="27">
        <v>2.5</v>
      </c>
      <c r="DJ119" s="27">
        <v>2.7</v>
      </c>
      <c r="DK119" s="27">
        <v>2.2999999999999998</v>
      </c>
      <c r="DL119" s="27">
        <v>1.1731637610823707E-2</v>
      </c>
      <c r="DM119" s="27">
        <v>0.95289999999999997</v>
      </c>
      <c r="DN119" s="28">
        <v>1.1605000000000001</v>
      </c>
      <c r="DO119" s="28">
        <v>9.3264248704663183E-2</v>
      </c>
      <c r="DP119" s="28">
        <f>(DM119-1.1242)/1.1242</f>
        <v>-0.15237502223803603</v>
      </c>
      <c r="DQ119" s="27">
        <v>0.20879999999999999</v>
      </c>
      <c r="DR119" s="27">
        <v>6.0688564775993471E-2</v>
      </c>
      <c r="DS119" s="27">
        <v>3.9305854754660308E-2</v>
      </c>
      <c r="DT119" s="27">
        <v>3.268886E-2</v>
      </c>
      <c r="DU119" s="30">
        <v>5.7817160000000003</v>
      </c>
      <c r="DV119">
        <v>0.9</v>
      </c>
      <c r="DW119">
        <v>2.8</v>
      </c>
      <c r="DX119">
        <v>84</v>
      </c>
      <c r="DY119">
        <v>80.900000000000006</v>
      </c>
      <c r="DZ119">
        <v>2.2000000000000002</v>
      </c>
      <c r="EA119">
        <v>3</v>
      </c>
      <c r="EB119">
        <v>1.701892</v>
      </c>
    </row>
    <row r="120" spans="1:132" ht="18">
      <c r="A120" s="14" t="s">
        <v>157</v>
      </c>
      <c r="B120" s="14">
        <v>2</v>
      </c>
      <c r="C120" s="14" t="s">
        <v>141</v>
      </c>
      <c r="D120" s="14" t="s">
        <v>142</v>
      </c>
      <c r="E120" s="14" t="s">
        <v>145</v>
      </c>
      <c r="F120" s="15">
        <v>2666</v>
      </c>
      <c r="G120" s="15">
        <v>3.4258601450778405</v>
      </c>
      <c r="H120" s="15">
        <v>1899</v>
      </c>
      <c r="I120" s="15">
        <v>767</v>
      </c>
      <c r="J120" s="16">
        <v>0</v>
      </c>
      <c r="K120" s="16">
        <v>1</v>
      </c>
      <c r="L120" s="17">
        <v>0.27346394502000204</v>
      </c>
      <c r="M120" s="18">
        <v>100</v>
      </c>
      <c r="N120" s="18">
        <v>59</v>
      </c>
      <c r="O120" s="18">
        <v>0.95660899653979248</v>
      </c>
      <c r="P120" s="18">
        <v>2</v>
      </c>
      <c r="Q120" s="18">
        <f t="shared" ref="Q120:Q131" si="55">(2+3+1)/3</f>
        <v>2</v>
      </c>
      <c r="R120" s="18">
        <v>100</v>
      </c>
      <c r="S120" s="18">
        <v>5</v>
      </c>
      <c r="T120" s="19">
        <v>3355</v>
      </c>
      <c r="U120" s="19">
        <v>3.5256925245050108</v>
      </c>
      <c r="V120" s="20">
        <v>11648</v>
      </c>
      <c r="W120" s="20">
        <v>4.0662513619689618</v>
      </c>
      <c r="X120" s="20">
        <v>0.35205222752825971</v>
      </c>
      <c r="Y120" s="20">
        <v>0.35250737459999998</v>
      </c>
      <c r="Z120" s="20">
        <f t="shared" si="27"/>
        <v>-0.45283179295744891</v>
      </c>
      <c r="AA120" s="20"/>
      <c r="AB120" s="20"/>
      <c r="AC120" s="20">
        <v>956</v>
      </c>
      <c r="AD120" s="21">
        <v>5</v>
      </c>
      <c r="AE120" s="21">
        <f t="shared" si="53"/>
        <v>5.1287311519130165E-4</v>
      </c>
      <c r="AF120" s="21">
        <f t="shared" si="54"/>
        <v>0.69897000433601886</v>
      </c>
      <c r="AG120" s="23">
        <v>0.13498820391835059</v>
      </c>
      <c r="AH120" s="22">
        <v>1316</v>
      </c>
      <c r="AI120" s="22">
        <v>29.843792629999999</v>
      </c>
      <c r="AJ120" s="22">
        <v>33086</v>
      </c>
      <c r="AK120" s="23">
        <f t="shared" si="37"/>
        <v>4.5196442654090756</v>
      </c>
      <c r="AL120" s="24">
        <v>0.22560688600000001</v>
      </c>
      <c r="AM120" s="22">
        <f>53+754+9+657+1620+315</f>
        <v>3408</v>
      </c>
      <c r="AN120" s="22">
        <f t="shared" si="48"/>
        <v>0.3495743153143912</v>
      </c>
      <c r="AO120" s="23">
        <v>0.15069598547508573</v>
      </c>
      <c r="AP120" s="33">
        <v>2.4508009999999998E-3</v>
      </c>
      <c r="AQ120" s="23">
        <v>-0.61069195113492891</v>
      </c>
      <c r="AR120" s="22">
        <v>9749</v>
      </c>
      <c r="AS120" s="23">
        <v>3.9889600703903381</v>
      </c>
      <c r="AT120" s="23">
        <v>3.9758452254675669</v>
      </c>
      <c r="AU120" s="22">
        <v>0.69899999999999995</v>
      </c>
      <c r="AV120" s="22">
        <v>0.25102319239999998</v>
      </c>
      <c r="AW120" s="22">
        <v>43.750999999999998</v>
      </c>
      <c r="AX120" s="22">
        <v>42.66</v>
      </c>
      <c r="AY120" s="22">
        <v>1</v>
      </c>
      <c r="AZ120" s="24">
        <v>14871</v>
      </c>
      <c r="BA120" s="24">
        <f t="shared" si="29"/>
        <v>4.1723401736248134</v>
      </c>
      <c r="BB120" s="24">
        <v>44339</v>
      </c>
      <c r="BC120" s="24">
        <f t="shared" si="30"/>
        <v>4.6467858940247639</v>
      </c>
      <c r="BD120" s="24">
        <v>-29468</v>
      </c>
      <c r="BE120" s="22">
        <v>2241</v>
      </c>
      <c r="BF120" s="22">
        <f>STDEVP(BE119:BE120)</f>
        <v>241</v>
      </c>
      <c r="BG120" s="23">
        <v>0.27401932916429789</v>
      </c>
      <c r="BH120" s="23">
        <v>0.22986973022874141</v>
      </c>
      <c r="BI120" s="23">
        <v>0.18596046093667407</v>
      </c>
      <c r="BJ120" s="23">
        <v>5.6992482676022388E-2</v>
      </c>
      <c r="BK120" s="23">
        <v>0.23612153395887719</v>
      </c>
      <c r="BL120" s="22">
        <v>1759</v>
      </c>
      <c r="BM120" s="22">
        <v>2265</v>
      </c>
      <c r="BN120" s="22">
        <f>STDEVP(BM119:BM120)</f>
        <v>294.5</v>
      </c>
      <c r="BO120" s="22">
        <v>3.3550682063488506</v>
      </c>
      <c r="BP120" s="22">
        <v>0.15230986483760339</v>
      </c>
      <c r="BQ120" s="22">
        <v>3.6358494004399181E-2</v>
      </c>
      <c r="BR120" s="22">
        <v>2.7591382454727302E-2</v>
      </c>
      <c r="BS120" s="22">
        <v>-350</v>
      </c>
      <c r="BT120" s="22">
        <v>2.5440680443502757</v>
      </c>
      <c r="BU120" s="22">
        <v>3.5901118063391114E-2</v>
      </c>
      <c r="BV120" s="23">
        <v>1948</v>
      </c>
      <c r="BW120" s="23">
        <v>368</v>
      </c>
      <c r="BX120" s="22">
        <v>59.7</v>
      </c>
      <c r="BY120" s="22">
        <v>1.7759743311293692</v>
      </c>
      <c r="BZ120" s="25">
        <v>2.4892703862660993E-2</v>
      </c>
      <c r="CA120" s="23">
        <v>3.9910305202485357</v>
      </c>
      <c r="CB120" s="23">
        <v>399.10305202485358</v>
      </c>
      <c r="CC120" s="23">
        <v>2.6010850489378305</v>
      </c>
      <c r="CD120" s="23">
        <v>2.9289569919413454</v>
      </c>
      <c r="CE120" s="23">
        <v>2.7759121499224668</v>
      </c>
      <c r="CF120" s="23">
        <v>1.4457831325301205</v>
      </c>
      <c r="CG120" s="23">
        <f t="shared" si="31"/>
        <v>0.36865113498544805</v>
      </c>
      <c r="CH120" s="26">
        <v>18.309999999999999</v>
      </c>
      <c r="CI120" s="26">
        <v>28.62</v>
      </c>
      <c r="CJ120" s="26">
        <v>1.2626883443016965</v>
      </c>
      <c r="CK120" s="26">
        <v>1.4566696294237576</v>
      </c>
      <c r="CL120" s="26">
        <v>-0.36023759608665273</v>
      </c>
      <c r="CM120" s="27">
        <v>22.615402298850572</v>
      </c>
      <c r="CN120" s="27">
        <v>-0.19701858825065877</v>
      </c>
      <c r="CQ120" s="27">
        <v>115.89653846153851</v>
      </c>
      <c r="CR120" s="27">
        <v>-7.3560292322686169E-2</v>
      </c>
      <c r="CS120" s="27">
        <v>0.92888888888888932</v>
      </c>
      <c r="CT120" s="27">
        <v>0.92386973180076604</v>
      </c>
      <c r="CU120" s="27">
        <v>5.4327541160378483E-3</v>
      </c>
      <c r="CX120" s="28">
        <v>0.66</v>
      </c>
      <c r="CY120" s="28">
        <v>0.76</v>
      </c>
      <c r="CZ120" s="29">
        <v>31.998965519999999</v>
      </c>
      <c r="DA120" s="27">
        <v>-0.14155277889515908</v>
      </c>
      <c r="DB120" s="27">
        <v>2.6347679627304119</v>
      </c>
      <c r="DC120" s="27">
        <v>2.5105365885464708</v>
      </c>
      <c r="DD120" s="27">
        <v>1</v>
      </c>
      <c r="DE120" s="27">
        <v>1.8</v>
      </c>
      <c r="DF120" s="27">
        <v>88.9</v>
      </c>
      <c r="DG120" s="28">
        <v>4.4875121425198587</v>
      </c>
      <c r="DH120" s="27">
        <v>0.90083999999999997</v>
      </c>
      <c r="DI120" s="27">
        <v>2.4</v>
      </c>
      <c r="DJ120" s="27">
        <v>2.2000000000000002</v>
      </c>
      <c r="DK120" s="27">
        <v>2</v>
      </c>
      <c r="DL120" s="27">
        <v>1.6216043547496031E-2</v>
      </c>
      <c r="DM120" s="27">
        <v>0.79400000000000004</v>
      </c>
      <c r="DN120" s="28">
        <v>1.1231</v>
      </c>
      <c r="DO120" s="28">
        <v>-3.2227488151658851E-2</v>
      </c>
      <c r="DP120" s="28">
        <f>(DM120-DM119)/DM119</f>
        <v>-0.16675411900514214</v>
      </c>
      <c r="DQ120" s="27">
        <v>0.17130000000000001</v>
      </c>
      <c r="DR120" s="27">
        <v>3.9305854754660308E-2</v>
      </c>
      <c r="DS120" s="27">
        <v>2.6867542601332471E-2</v>
      </c>
      <c r="DT120" s="27">
        <v>6.0688564775993471E-2</v>
      </c>
      <c r="DU120" s="30">
        <v>5.9865389999999996</v>
      </c>
      <c r="DV120">
        <v>0.9</v>
      </c>
      <c r="DW120">
        <v>2.8</v>
      </c>
      <c r="DX120">
        <v>85.7</v>
      </c>
      <c r="DY120">
        <v>82.9</v>
      </c>
      <c r="DZ120">
        <v>2.4</v>
      </c>
      <c r="EA120">
        <v>2</v>
      </c>
      <c r="EB120">
        <v>1.4781599999999999</v>
      </c>
    </row>
    <row r="121" spans="1:132" ht="18">
      <c r="A121" s="14" t="s">
        <v>157</v>
      </c>
      <c r="B121" s="14">
        <v>3</v>
      </c>
      <c r="C121" s="14" t="s">
        <v>141</v>
      </c>
      <c r="D121" s="14" t="s">
        <v>142</v>
      </c>
      <c r="E121" s="14" t="s">
        <v>145</v>
      </c>
      <c r="F121" s="15">
        <v>12065</v>
      </c>
      <c r="G121" s="15">
        <v>4.0815273262448049</v>
      </c>
      <c r="H121" s="15">
        <v>10472</v>
      </c>
      <c r="I121" s="15">
        <v>791</v>
      </c>
      <c r="J121" s="16">
        <v>0</v>
      </c>
      <c r="K121" s="16">
        <v>1</v>
      </c>
      <c r="L121" s="17">
        <v>0.14126476752491013</v>
      </c>
      <c r="M121" s="18">
        <v>100</v>
      </c>
      <c r="N121" s="18">
        <v>59</v>
      </c>
      <c r="O121" s="18">
        <v>0.95660899653979248</v>
      </c>
      <c r="P121" s="18">
        <v>2</v>
      </c>
      <c r="Q121" s="18">
        <f t="shared" si="55"/>
        <v>2</v>
      </c>
      <c r="R121" s="18">
        <v>100</v>
      </c>
      <c r="S121" s="18">
        <v>5</v>
      </c>
      <c r="T121" s="19">
        <v>7692</v>
      </c>
      <c r="U121" s="19">
        <v>3.8860392755664424</v>
      </c>
      <c r="V121" s="20">
        <v>41864</v>
      </c>
      <c r="W121" s="20">
        <v>4.6218407217316084</v>
      </c>
      <c r="X121" s="20">
        <v>0.60781694639642259</v>
      </c>
      <c r="Y121" s="20">
        <v>0.59670973439999997</v>
      </c>
      <c r="Z121" s="20">
        <f t="shared" si="27"/>
        <v>-0.22423687725273275</v>
      </c>
      <c r="AA121" s="20"/>
      <c r="AB121" s="20"/>
      <c r="AC121" s="20">
        <v>37178</v>
      </c>
      <c r="AD121" s="21">
        <v>82</v>
      </c>
      <c r="AE121" s="21">
        <f t="shared" si="53"/>
        <v>9.6010865619914059E-4</v>
      </c>
      <c r="AF121" s="21">
        <f t="shared" si="54"/>
        <v>1.9138138523837167</v>
      </c>
      <c r="AG121" s="23">
        <v>2.7971946093411547E-2</v>
      </c>
      <c r="AH121" s="22">
        <v>2389</v>
      </c>
      <c r="AI121" s="22">
        <v>2.010806358</v>
      </c>
      <c r="AJ121" s="22">
        <v>68876</v>
      </c>
      <c r="AK121" s="23">
        <f t="shared" si="37"/>
        <v>4.8380679173600836</v>
      </c>
      <c r="AL121" s="24">
        <v>0.28164475900000002</v>
      </c>
      <c r="AM121" s="22">
        <f>28706+15178</f>
        <v>43884</v>
      </c>
      <c r="AN121" s="22">
        <f t="shared" si="48"/>
        <v>0.51382205205662301</v>
      </c>
      <c r="AO121" s="23">
        <v>9.4943429387426309E-2</v>
      </c>
      <c r="AP121" s="33">
        <v>6.11234E-3</v>
      </c>
      <c r="AQ121" s="23">
        <v>-0.21379249605262821</v>
      </c>
      <c r="AR121" s="22">
        <v>85407</v>
      </c>
      <c r="AS121" s="23">
        <v>4.9314934671385071</v>
      </c>
      <c r="AT121" s="23">
        <v>3.9889600703903381</v>
      </c>
      <c r="AU121" s="22">
        <v>0.45500000000000002</v>
      </c>
      <c r="AV121" s="22">
        <v>0.38505524330000002</v>
      </c>
      <c r="AW121" s="22">
        <v>82.99</v>
      </c>
      <c r="AX121" s="22">
        <v>43.750999999999998</v>
      </c>
      <c r="AY121" s="22">
        <v>2</v>
      </c>
      <c r="AZ121" s="24">
        <v>27311</v>
      </c>
      <c r="BA121" s="24">
        <f t="shared" si="29"/>
        <v>4.4363376022463203</v>
      </c>
      <c r="BB121" s="24">
        <v>7566</v>
      </c>
      <c r="BC121" s="24">
        <f t="shared" si="30"/>
        <v>3.8788663369567251</v>
      </c>
      <c r="BD121" s="24">
        <v>19745</v>
      </c>
      <c r="BE121" s="22">
        <v>2593</v>
      </c>
      <c r="BF121" s="22">
        <f t="shared" ref="BF121:BF131" si="56">STDEVP(BE120:BE121)</f>
        <v>176</v>
      </c>
      <c r="BG121" s="23">
        <v>0.1570727353859884</v>
      </c>
      <c r="BH121" s="23">
        <v>3.0360509091760628E-2</v>
      </c>
      <c r="BI121" s="23">
        <v>0.22986973022874141</v>
      </c>
      <c r="BJ121" s="23">
        <v>5.6992482676022388E-2</v>
      </c>
      <c r="BK121" s="23">
        <v>-0.86792297941295204</v>
      </c>
      <c r="BL121" s="22">
        <v>2241</v>
      </c>
      <c r="BM121" s="22">
        <v>4049</v>
      </c>
      <c r="BN121" s="22">
        <f t="shared" ref="BN121:BN130" si="57">STDEVP(BM120:BM121)</f>
        <v>892</v>
      </c>
      <c r="BO121" s="22">
        <v>3.6073477767684134</v>
      </c>
      <c r="BP121" s="22">
        <v>0.14825528175460437</v>
      </c>
      <c r="BQ121" s="22">
        <v>2.0272915414995124E-3</v>
      </c>
      <c r="BR121" s="22">
        <v>3.6358494004399181E-2</v>
      </c>
      <c r="BS121" s="22">
        <v>-14173</v>
      </c>
      <c r="BT121" s="22">
        <v>4.1514617871243313</v>
      </c>
      <c r="BU121" s="22">
        <v>0.16594658517451732</v>
      </c>
      <c r="BV121" s="23">
        <v>4951</v>
      </c>
      <c r="BW121" s="22">
        <v>15892</v>
      </c>
      <c r="BX121" s="22">
        <v>58.8</v>
      </c>
      <c r="BY121" s="22">
        <v>1.7693773260761385</v>
      </c>
      <c r="BZ121" s="25">
        <v>-1.5075376884422205E-2</v>
      </c>
      <c r="CA121" s="23">
        <v>2.7759121499224668</v>
      </c>
      <c r="CB121" s="23">
        <v>277.59121499224671</v>
      </c>
      <c r="CC121" s="23">
        <v>2.4434057177599002</v>
      </c>
      <c r="CD121" s="23">
        <v>3.9910305202485357</v>
      </c>
      <c r="CE121" s="23">
        <v>2.5345829915053892</v>
      </c>
      <c r="CF121" s="23">
        <v>1.2798462161068394</v>
      </c>
      <c r="CG121" s="23">
        <f t="shared" si="31"/>
        <v>0.2467399270471656</v>
      </c>
      <c r="CH121" s="26">
        <v>13.29</v>
      </c>
      <c r="CI121" s="26">
        <v>18.309999999999999</v>
      </c>
      <c r="CJ121" s="26">
        <v>1.1235249809427319</v>
      </c>
      <c r="CK121" s="26">
        <v>1.2626883443016965</v>
      </c>
      <c r="CL121" s="26">
        <v>-0.27416712179137082</v>
      </c>
      <c r="CM121" s="27">
        <v>16.030268199233717</v>
      </c>
      <c r="CN121" s="27">
        <v>-0.29117917128326054</v>
      </c>
      <c r="CQ121" s="27">
        <v>102.09153846153851</v>
      </c>
      <c r="CR121" s="27">
        <v>-0.11911486040268011</v>
      </c>
      <c r="CS121" s="27">
        <v>0.9859003831417622</v>
      </c>
      <c r="CT121" s="27">
        <v>0.92888888888888899</v>
      </c>
      <c r="CU121" s="27">
        <v>6.1376010559312889E-2</v>
      </c>
      <c r="CV121" s="27">
        <v>1.140877862595419</v>
      </c>
      <c r="CW121" s="27">
        <v>2.0572391532349976</v>
      </c>
      <c r="CX121" s="28">
        <v>1.07</v>
      </c>
      <c r="CY121" s="28">
        <v>0.66</v>
      </c>
      <c r="CZ121" s="29">
        <v>18.886297710000001</v>
      </c>
      <c r="DA121" s="27">
        <v>-0.40978411635852152</v>
      </c>
      <c r="DB121" s="27">
        <v>266.87708664986224</v>
      </c>
      <c r="DC121" s="27">
        <v>2.6347679627304119</v>
      </c>
      <c r="DD121" s="27">
        <v>1</v>
      </c>
      <c r="DE121" s="27">
        <v>2</v>
      </c>
      <c r="DF121" s="27">
        <v>90.4</v>
      </c>
      <c r="DG121" s="28">
        <v>4.5042442673981311</v>
      </c>
      <c r="DH121" s="27">
        <v>0.91725999999999996</v>
      </c>
      <c r="DI121" s="27">
        <v>2.2999999999999998</v>
      </c>
      <c r="DJ121" s="27">
        <v>2.4</v>
      </c>
      <c r="DK121" s="27">
        <v>2.1</v>
      </c>
      <c r="DL121" s="27">
        <v>1.3035848693861207E-2</v>
      </c>
      <c r="DM121" s="27">
        <v>0.73780000000000001</v>
      </c>
      <c r="DN121" s="28">
        <v>0.95269999999999999</v>
      </c>
      <c r="DO121" s="28">
        <v>-0.15172290980322323</v>
      </c>
      <c r="DP121" s="28">
        <f t="shared" ref="DP121:DP131" si="58">(DM121-DM120)/DM120</f>
        <v>-7.0780856423173832E-2</v>
      </c>
      <c r="DQ121" s="27">
        <v>0.11370000000000002</v>
      </c>
      <c r="DR121" s="27">
        <v>2.6867542601332471E-2</v>
      </c>
      <c r="DS121" s="27">
        <v>3.2347817198611614E-2</v>
      </c>
      <c r="DT121" s="27">
        <v>3.9305854754660308E-2</v>
      </c>
      <c r="DU121" s="30">
        <v>5.5230399999999999</v>
      </c>
      <c r="DV121">
        <v>0.3</v>
      </c>
      <c r="DW121">
        <v>2.6</v>
      </c>
      <c r="DX121">
        <v>88</v>
      </c>
      <c r="DY121">
        <v>85.1</v>
      </c>
      <c r="DZ121">
        <v>2</v>
      </c>
      <c r="EA121">
        <v>1.5</v>
      </c>
      <c r="EB121">
        <v>1.913224</v>
      </c>
    </row>
    <row r="122" spans="1:132" ht="18">
      <c r="A122" s="14" t="s">
        <v>157</v>
      </c>
      <c r="B122" s="14">
        <v>4</v>
      </c>
      <c r="C122" s="14" t="s">
        <v>141</v>
      </c>
      <c r="D122" s="14" t="s">
        <v>142</v>
      </c>
      <c r="E122" s="14" t="s">
        <v>145</v>
      </c>
      <c r="F122" s="15">
        <v>8847</v>
      </c>
      <c r="G122" s="15">
        <v>3.9467960272714606</v>
      </c>
      <c r="H122" s="15">
        <v>7807</v>
      </c>
      <c r="I122" s="15">
        <v>238</v>
      </c>
      <c r="J122" s="16">
        <v>0</v>
      </c>
      <c r="K122" s="16">
        <v>1</v>
      </c>
      <c r="L122" s="17">
        <v>0.10209097832860209</v>
      </c>
      <c r="M122" s="18">
        <v>100</v>
      </c>
      <c r="N122" s="18">
        <v>59</v>
      </c>
      <c r="O122" s="18">
        <v>0.95660899653979248</v>
      </c>
      <c r="P122" s="18">
        <v>2</v>
      </c>
      <c r="Q122" s="18">
        <f t="shared" si="55"/>
        <v>2</v>
      </c>
      <c r="R122" s="18">
        <v>100</v>
      </c>
      <c r="S122" s="18">
        <v>5</v>
      </c>
      <c r="T122" s="19">
        <v>15192</v>
      </c>
      <c r="U122" s="19">
        <v>4.1816149517289611</v>
      </c>
      <c r="V122" s="20">
        <v>42084</v>
      </c>
      <c r="W122" s="20">
        <v>4.6241170119291271</v>
      </c>
      <c r="X122" s="20">
        <v>0.52591194811362019</v>
      </c>
      <c r="Y122" s="20">
        <v>0.60830186539999997</v>
      </c>
      <c r="Z122" s="20">
        <f t="shared" si="27"/>
        <v>-0.21588085174078481</v>
      </c>
      <c r="AA122" s="20"/>
      <c r="AB122" s="20"/>
      <c r="AC122" s="20">
        <v>42850</v>
      </c>
      <c r="AD122" s="21">
        <v>1374</v>
      </c>
      <c r="AE122" s="21">
        <f t="shared" si="53"/>
        <v>1.5855431697015854E-2</v>
      </c>
      <c r="AF122" s="21">
        <f t="shared" si="54"/>
        <v>3.1379867327235318</v>
      </c>
      <c r="AG122" s="23">
        <v>4.6666205082046663E-2</v>
      </c>
      <c r="AH122" s="22">
        <v>4044</v>
      </c>
      <c r="AI122" s="22">
        <v>2.2388323940000001</v>
      </c>
      <c r="AJ122" s="22">
        <v>80021</v>
      </c>
      <c r="AK122" s="23">
        <f t="shared" si="37"/>
        <v>4.9032039743332589</v>
      </c>
      <c r="AL122" s="24">
        <v>0.53543862099999995</v>
      </c>
      <c r="AM122" s="22">
        <f>24412+15420</f>
        <v>39832</v>
      </c>
      <c r="AN122" s="22">
        <f t="shared" si="48"/>
        <v>0.45964596459645962</v>
      </c>
      <c r="AO122" s="23">
        <v>0.15504176505833009</v>
      </c>
      <c r="AP122" s="33">
        <v>1.818225E-2</v>
      </c>
      <c r="AQ122" s="23">
        <v>0.25964762487721865</v>
      </c>
      <c r="AR122" s="22">
        <v>86658</v>
      </c>
      <c r="AS122" s="23">
        <v>4.9378086616313484</v>
      </c>
      <c r="AT122" s="23">
        <v>4.9314934671385071</v>
      </c>
      <c r="AU122" s="22">
        <v>0.31</v>
      </c>
      <c r="AV122" s="22">
        <v>0.23948010450000001</v>
      </c>
      <c r="AW122" s="22">
        <v>103.696</v>
      </c>
      <c r="AX122" s="22">
        <v>82.99</v>
      </c>
      <c r="AY122" s="22">
        <v>3</v>
      </c>
      <c r="AZ122" s="24">
        <v>28373</v>
      </c>
      <c r="BA122" s="24">
        <f t="shared" si="29"/>
        <v>4.4529052580575206</v>
      </c>
      <c r="BB122" s="24">
        <v>7587</v>
      </c>
      <c r="BC122" s="24">
        <f t="shared" si="30"/>
        <v>3.8800700840640672</v>
      </c>
      <c r="BD122" s="24">
        <v>20786</v>
      </c>
      <c r="BE122" s="22">
        <v>4399</v>
      </c>
      <c r="BF122" s="22">
        <f t="shared" si="56"/>
        <v>903</v>
      </c>
      <c r="BG122" s="23">
        <v>0.69649055148476668</v>
      </c>
      <c r="BH122" s="23">
        <v>5.0762768584550762E-2</v>
      </c>
      <c r="BI122" s="23">
        <v>3.0360509091760628E-2</v>
      </c>
      <c r="BJ122" s="23">
        <v>5.6992482676022388E-2</v>
      </c>
      <c r="BK122" s="23">
        <v>0.67199991380668223</v>
      </c>
      <c r="BL122" s="22">
        <v>2593</v>
      </c>
      <c r="BM122" s="22">
        <v>6398</v>
      </c>
      <c r="BN122" s="22">
        <f t="shared" si="57"/>
        <v>1174.5</v>
      </c>
      <c r="BO122" s="22">
        <v>3.8060442357480881</v>
      </c>
      <c r="BP122" s="22">
        <v>0.22549607020759171</v>
      </c>
      <c r="BQ122" s="22">
        <v>3.8620394226493604E-2</v>
      </c>
      <c r="BR122" s="22">
        <v>2.0272915414995124E-3</v>
      </c>
      <c r="BS122" s="22">
        <v>-1101</v>
      </c>
      <c r="BT122" s="22">
        <v>3.0417873189717519</v>
      </c>
      <c r="BU122" s="22">
        <v>1.2705116665512705E-2</v>
      </c>
      <c r="BV122" s="23">
        <v>7086</v>
      </c>
      <c r="BW122" s="22">
        <v>11092</v>
      </c>
      <c r="BX122" s="22">
        <v>74</v>
      </c>
      <c r="BY122" s="22">
        <v>1.8692317197309762</v>
      </c>
      <c r="BZ122" s="25">
        <v>0.25850340136054428</v>
      </c>
      <c r="CA122" s="23">
        <v>2.5345829915053892</v>
      </c>
      <c r="CB122" s="23">
        <v>253.45829915053892</v>
      </c>
      <c r="CC122" s="23">
        <v>2.4039065161799544</v>
      </c>
      <c r="CD122" s="23">
        <v>2.7759121499224668</v>
      </c>
      <c r="CE122" s="23">
        <v>4.6043257728450531</v>
      </c>
      <c r="CF122" s="23">
        <v>1.3599290780141844</v>
      </c>
      <c r="CG122" s="23">
        <f t="shared" si="31"/>
        <v>0.30743254986919727</v>
      </c>
      <c r="CH122" s="26">
        <v>12.07</v>
      </c>
      <c r="CI122" s="26">
        <v>13.29</v>
      </c>
      <c r="CJ122" s="26">
        <v>1.0817072700973491</v>
      </c>
      <c r="CK122" s="26">
        <v>1.1235249809427319</v>
      </c>
      <c r="CL122" s="26">
        <v>-9.1798344620014974E-2</v>
      </c>
      <c r="CM122" s="27">
        <v>13.248115384615385</v>
      </c>
      <c r="CN122" s="27">
        <v>-0.17355622376619531</v>
      </c>
      <c r="CQ122" s="27">
        <v>81.715444015443992</v>
      </c>
      <c r="CR122" s="27">
        <v>-0.1995865157206041</v>
      </c>
      <c r="CS122" s="27">
        <v>0.91873076923076902</v>
      </c>
      <c r="CT122" s="27">
        <v>0.9859003831417622</v>
      </c>
      <c r="CU122" s="27">
        <v>-6.8130223965370842E-2</v>
      </c>
      <c r="CV122" s="27">
        <v>1.0315769230769232</v>
      </c>
      <c r="CW122" s="27">
        <v>2.0135016181765906</v>
      </c>
      <c r="CX122" s="28">
        <v>0.94</v>
      </c>
      <c r="CY122" s="28">
        <v>1.07</v>
      </c>
      <c r="CZ122" s="29">
        <v>14.03142308</v>
      </c>
      <c r="DA122" s="27">
        <v>-0.25705803776615366</v>
      </c>
      <c r="DB122" s="27">
        <v>1.72976924253802</v>
      </c>
      <c r="DC122" s="27">
        <v>266.87708664986224</v>
      </c>
      <c r="DD122" s="27">
        <v>1</v>
      </c>
      <c r="DE122" s="27">
        <v>1.2</v>
      </c>
      <c r="DF122" s="27">
        <v>92.1</v>
      </c>
      <c r="DG122" s="28">
        <v>4.5228749432612609</v>
      </c>
      <c r="DH122" s="27">
        <v>0.93069000000000002</v>
      </c>
      <c r="DI122" s="27">
        <v>2.2000000000000002</v>
      </c>
      <c r="DJ122" s="27">
        <v>1.4</v>
      </c>
      <c r="DK122" s="27">
        <v>1.5</v>
      </c>
      <c r="DL122" s="27">
        <v>8.4498661866614921E-3</v>
      </c>
      <c r="DM122" s="27">
        <v>0.84399999999999997</v>
      </c>
      <c r="DN122" s="28">
        <v>0.79300000000000004</v>
      </c>
      <c r="DO122" s="28">
        <v>-0.167628844337147</v>
      </c>
      <c r="DP122" s="28">
        <f t="shared" si="58"/>
        <v>0.14394144754676058</v>
      </c>
      <c r="DQ122" s="27">
        <v>0.11509999999999998</v>
      </c>
      <c r="DR122" s="27">
        <v>3.2347817198611614E-2</v>
      </c>
      <c r="DS122" s="27">
        <v>2.4490842135800685E-2</v>
      </c>
      <c r="DT122" s="27">
        <v>2.6867542601332471E-2</v>
      </c>
      <c r="DU122" s="30">
        <v>5.0767810000000004</v>
      </c>
      <c r="DV122">
        <v>-0.3</v>
      </c>
      <c r="DW122">
        <v>0.7</v>
      </c>
      <c r="DX122">
        <v>90.9</v>
      </c>
      <c r="DY122">
        <v>87.4</v>
      </c>
      <c r="DZ122">
        <v>1.6</v>
      </c>
      <c r="EA122">
        <v>1</v>
      </c>
      <c r="EB122">
        <v>2.1595819999999999</v>
      </c>
    </row>
    <row r="123" spans="1:132" ht="18">
      <c r="A123" s="14" t="s">
        <v>157</v>
      </c>
      <c r="B123" s="14">
        <v>5</v>
      </c>
      <c r="C123" s="14" t="s">
        <v>141</v>
      </c>
      <c r="D123" s="14" t="s">
        <v>142</v>
      </c>
      <c r="E123" s="14" t="s">
        <v>145</v>
      </c>
      <c r="F123" s="15">
        <v>9198</v>
      </c>
      <c r="G123" s="15">
        <v>3.9636934052380188</v>
      </c>
      <c r="H123" s="15">
        <v>9144</v>
      </c>
      <c r="I123" s="15">
        <v>18</v>
      </c>
      <c r="J123" s="16">
        <v>0</v>
      </c>
      <c r="K123" s="16">
        <v>1</v>
      </c>
      <c r="L123" s="17">
        <v>0.11828247366999729</v>
      </c>
      <c r="M123" s="18">
        <v>100</v>
      </c>
      <c r="N123" s="18">
        <v>59</v>
      </c>
      <c r="O123" s="18">
        <v>0.95660899653979248</v>
      </c>
      <c r="P123" s="18">
        <v>2</v>
      </c>
      <c r="Q123" s="18">
        <f t="shared" si="55"/>
        <v>2</v>
      </c>
      <c r="R123" s="18">
        <v>100</v>
      </c>
      <c r="S123" s="18">
        <v>5</v>
      </c>
      <c r="T123" s="19">
        <v>16154</v>
      </c>
      <c r="U123" s="19">
        <v>4.2082800785453101</v>
      </c>
      <c r="V123" s="20">
        <v>43803</v>
      </c>
      <c r="W123" s="20">
        <v>4.6415038556828314</v>
      </c>
      <c r="X123" s="20">
        <v>0.4367677412278515</v>
      </c>
      <c r="Y123" s="20">
        <v>0.56957704750000004</v>
      </c>
      <c r="Z123" s="20">
        <f t="shared" si="27"/>
        <v>-0.24444751997678035</v>
      </c>
      <c r="AA123" s="20"/>
      <c r="AB123" s="20"/>
      <c r="AC123" s="20">
        <v>35377</v>
      </c>
      <c r="AD123" s="21">
        <v>298</v>
      </c>
      <c r="AE123" s="21">
        <f t="shared" si="53"/>
        <v>3.8321566811979992E-3</v>
      </c>
      <c r="AF123" s="21">
        <f t="shared" si="54"/>
        <v>2.4742162640762553</v>
      </c>
      <c r="AG123" s="23">
        <v>5.6967966770829312E-2</v>
      </c>
      <c r="AH123" s="22">
        <v>4430</v>
      </c>
      <c r="AI123" s="22">
        <v>2.07533828</v>
      </c>
      <c r="AJ123" s="22">
        <v>100289</v>
      </c>
      <c r="AK123" s="23">
        <f t="shared" si="37"/>
        <v>5.0012533009039437</v>
      </c>
      <c r="AL123" s="24">
        <v>0.56934409500000005</v>
      </c>
      <c r="AM123" s="22">
        <f>21665+10278</f>
        <v>31943</v>
      </c>
      <c r="AN123" s="22">
        <f t="shared" si="48"/>
        <v>0.41077376130036136</v>
      </c>
      <c r="AO123" s="23">
        <v>0.15504176505833009</v>
      </c>
      <c r="AP123" s="33">
        <v>1.9736066E-2</v>
      </c>
      <c r="AQ123" s="23">
        <v>0.29526058882196532</v>
      </c>
      <c r="AR123" s="22">
        <v>77763</v>
      </c>
      <c r="AS123" s="23">
        <v>4.8907730067833617</v>
      </c>
      <c r="AT123" s="23">
        <v>4.9378086616313484</v>
      </c>
      <c r="AU123" s="22">
        <v>0.217</v>
      </c>
      <c r="AV123" s="22">
        <v>0.15</v>
      </c>
      <c r="AW123" s="22">
        <v>95.091999999999999</v>
      </c>
      <c r="AX123" s="22">
        <v>103.696</v>
      </c>
      <c r="AY123" s="22">
        <v>2</v>
      </c>
      <c r="AZ123" s="24">
        <v>28373</v>
      </c>
      <c r="BA123" s="24">
        <f t="shared" si="29"/>
        <v>4.4529052580575206</v>
      </c>
      <c r="BB123" s="24">
        <v>7587</v>
      </c>
      <c r="BC123" s="24">
        <f t="shared" si="30"/>
        <v>3.8800700840640672</v>
      </c>
      <c r="BD123" s="24">
        <v>20786</v>
      </c>
      <c r="BE123" s="22">
        <v>4399</v>
      </c>
      <c r="BF123" s="22">
        <f t="shared" si="56"/>
        <v>0</v>
      </c>
      <c r="BG123" s="23">
        <v>0</v>
      </c>
      <c r="BH123" s="23">
        <v>5.6569319599295294E-2</v>
      </c>
      <c r="BI123" s="23">
        <v>5.0762768584550762E-2</v>
      </c>
      <c r="BJ123" s="23">
        <v>5.6992482676022388E-2</v>
      </c>
      <c r="BK123" s="23">
        <v>0.11438601905790673</v>
      </c>
      <c r="BL123" s="22">
        <v>4399</v>
      </c>
      <c r="BM123" s="22">
        <v>6604</v>
      </c>
      <c r="BN123" s="22">
        <f t="shared" si="57"/>
        <v>103</v>
      </c>
      <c r="BO123" s="22">
        <v>3.8198070645907558</v>
      </c>
      <c r="BP123" s="22">
        <v>0.23275649384978678</v>
      </c>
      <c r="BQ123" s="22">
        <v>3.6302118210975315E-3</v>
      </c>
      <c r="BR123" s="22">
        <v>3.8620394226493604E-2</v>
      </c>
      <c r="BS123" s="22">
        <v>-790</v>
      </c>
      <c r="BT123" s="22">
        <v>2.8976270912904414</v>
      </c>
      <c r="BU123" s="22">
        <v>1.0159073081028253E-2</v>
      </c>
      <c r="BV123" s="23">
        <v>6644</v>
      </c>
      <c r="BW123" s="22">
        <v>6873</v>
      </c>
      <c r="BX123" s="22">
        <v>69.95</v>
      </c>
      <c r="BY123" s="22">
        <v>1.8447877188278465</v>
      </c>
      <c r="BZ123" s="25">
        <v>-5.4729729729729691E-2</v>
      </c>
      <c r="CA123" s="23">
        <v>4.6043257728450531</v>
      </c>
      <c r="CB123" s="23">
        <v>460.43257728450533</v>
      </c>
      <c r="CC123" s="23">
        <v>2.6631660439637668</v>
      </c>
      <c r="CD123" s="23">
        <v>2.5345829915053892</v>
      </c>
      <c r="CE123" s="23">
        <v>3.947932438714675</v>
      </c>
      <c r="CF123" s="23">
        <v>1.2313030069390902</v>
      </c>
      <c r="CG123" s="23">
        <f t="shared" si="31"/>
        <v>0.20807296389856858</v>
      </c>
      <c r="CH123" s="26">
        <v>11.56</v>
      </c>
      <c r="CI123" s="26">
        <v>12.07</v>
      </c>
      <c r="CJ123" s="26">
        <v>1.0629578340845103</v>
      </c>
      <c r="CK123" s="26">
        <v>1.0817072700973491</v>
      </c>
      <c r="CL123" s="26">
        <v>-4.2253521126760542E-2</v>
      </c>
      <c r="CM123" s="27">
        <v>13.296884615384608</v>
      </c>
      <c r="CN123" s="27">
        <v>3.681220260646025E-3</v>
      </c>
      <c r="CQ123" s="27">
        <v>67.989575289575299</v>
      </c>
      <c r="CR123" s="27">
        <v>-0.167971536975</v>
      </c>
      <c r="CS123" s="27">
        <v>0.84238461538461584</v>
      </c>
      <c r="CT123" s="27">
        <v>0.91873076923076902</v>
      </c>
      <c r="CU123" s="27">
        <v>-8.3099593921379125E-2</v>
      </c>
      <c r="CV123" s="27">
        <v>0.92230769230769172</v>
      </c>
      <c r="CW123" s="27">
        <v>1.9648758307920116</v>
      </c>
      <c r="CX123" s="28">
        <v>0.56000000000000005</v>
      </c>
      <c r="CY123" s="28">
        <v>0.94</v>
      </c>
      <c r="CZ123" s="29">
        <v>16.52657692</v>
      </c>
      <c r="DA123" s="27">
        <v>0.17782614249273998</v>
      </c>
      <c r="DB123" s="27">
        <v>1.322681365714484</v>
      </c>
      <c r="DC123" s="27">
        <v>1.72976924253802</v>
      </c>
      <c r="DD123" s="27">
        <v>1</v>
      </c>
      <c r="DE123" s="27">
        <v>0.7</v>
      </c>
      <c r="DF123" s="27">
        <v>94.1</v>
      </c>
      <c r="DG123" s="28">
        <v>4.5443580465913342</v>
      </c>
      <c r="DH123" s="27">
        <v>0.94418000000000002</v>
      </c>
      <c r="DI123" s="27">
        <v>1.9</v>
      </c>
      <c r="DJ123" s="27">
        <v>1.6</v>
      </c>
      <c r="DK123" s="27">
        <v>1.8</v>
      </c>
      <c r="DL123" s="27">
        <v>7.6672365931182819E-3</v>
      </c>
      <c r="DM123" s="27">
        <v>0.75770000000000004</v>
      </c>
      <c r="DN123" s="28">
        <v>0.74250000000000005</v>
      </c>
      <c r="DO123" s="28">
        <v>-6.3682219419924316E-2</v>
      </c>
      <c r="DP123" s="28">
        <f t="shared" si="58"/>
        <v>-0.10225118483412314</v>
      </c>
      <c r="DQ123" s="27">
        <v>9.7799999999999998E-2</v>
      </c>
      <c r="DR123" s="27">
        <v>2.4490842135800685E-2</v>
      </c>
      <c r="DS123" s="27">
        <v>2.77430650961079E-2</v>
      </c>
      <c r="DT123" s="27">
        <v>3.2347817198611614E-2</v>
      </c>
      <c r="DU123" s="30">
        <v>4.6174650000000002</v>
      </c>
      <c r="DV123">
        <v>-0.5</v>
      </c>
      <c r="DW123">
        <v>-0.4</v>
      </c>
      <c r="DX123">
        <v>93.7</v>
      </c>
      <c r="DY123">
        <v>89.8</v>
      </c>
      <c r="DZ123">
        <v>1.6</v>
      </c>
      <c r="EA123">
        <v>1.7</v>
      </c>
      <c r="EB123">
        <v>2.2385109999999999</v>
      </c>
    </row>
    <row r="124" spans="1:132" ht="18">
      <c r="A124" s="14" t="s">
        <v>157</v>
      </c>
      <c r="B124" s="14">
        <v>6</v>
      </c>
      <c r="C124" s="14" t="s">
        <v>141</v>
      </c>
      <c r="D124" s="14" t="s">
        <v>142</v>
      </c>
      <c r="E124" s="14" t="s">
        <v>145</v>
      </c>
      <c r="F124" s="15">
        <v>13655</v>
      </c>
      <c r="G124" s="15">
        <v>4.135291704475752</v>
      </c>
      <c r="H124" s="15">
        <v>12493</v>
      </c>
      <c r="I124" s="15">
        <v>1132</v>
      </c>
      <c r="J124" s="16">
        <v>0</v>
      </c>
      <c r="K124" s="16">
        <v>1</v>
      </c>
      <c r="L124" s="17">
        <v>0.18987957838529354</v>
      </c>
      <c r="M124" s="18">
        <v>100</v>
      </c>
      <c r="N124" s="18">
        <v>59</v>
      </c>
      <c r="O124" s="18">
        <v>0.95660899653979248</v>
      </c>
      <c r="P124" s="18">
        <v>2</v>
      </c>
      <c r="Q124" s="18">
        <f t="shared" si="55"/>
        <v>2</v>
      </c>
      <c r="R124" s="18">
        <v>100</v>
      </c>
      <c r="S124" s="18">
        <v>5</v>
      </c>
      <c r="T124" s="19">
        <v>15868</v>
      </c>
      <c r="U124" s="19">
        <v>4.2005221918021132</v>
      </c>
      <c r="V124" s="20">
        <v>44118</v>
      </c>
      <c r="W124" s="20">
        <v>4.6446158163553841</v>
      </c>
      <c r="X124" s="20">
        <v>0.44341926729986431</v>
      </c>
      <c r="Y124" s="20">
        <v>0.54096618190000001</v>
      </c>
      <c r="Z124" s="20">
        <f t="shared" si="27"/>
        <v>-0.26682988364256693</v>
      </c>
      <c r="AA124" s="20"/>
      <c r="AB124" s="20"/>
      <c r="AC124" s="20">
        <v>30537</v>
      </c>
      <c r="AD124" s="21">
        <v>762</v>
      </c>
      <c r="AE124" s="21">
        <f t="shared" si="53"/>
        <v>1.0595989654309313E-2</v>
      </c>
      <c r="AF124" s="21">
        <f t="shared" si="54"/>
        <v>2.8819549713396007</v>
      </c>
      <c r="AG124" s="23">
        <v>6.3089245487665827E-2</v>
      </c>
      <c r="AH124" s="22">
        <v>4537</v>
      </c>
      <c r="AI124" s="22">
        <v>1.9236789729999999</v>
      </c>
      <c r="AJ124" s="22">
        <v>99495</v>
      </c>
      <c r="AK124" s="23">
        <f t="shared" si="37"/>
        <v>4.9978012563540579</v>
      </c>
      <c r="AL124" s="24">
        <v>0.56566376699999998</v>
      </c>
      <c r="AM124" s="22">
        <f>17526+9669</f>
        <v>27195</v>
      </c>
      <c r="AN124" s="22">
        <f t="shared" si="48"/>
        <v>0.37816002447367691</v>
      </c>
      <c r="AO124" s="23">
        <v>0.20255240268073577</v>
      </c>
      <c r="AP124" s="33">
        <v>2.5736539999999999E-2</v>
      </c>
      <c r="AQ124" s="23">
        <v>0.41055016028744346</v>
      </c>
      <c r="AR124" s="22">
        <v>71914</v>
      </c>
      <c r="AS124" s="23">
        <v>4.8568134457497569</v>
      </c>
      <c r="AT124" s="23">
        <v>4.8907730067833617</v>
      </c>
      <c r="AU124" s="22">
        <v>0.19400000000000001</v>
      </c>
      <c r="AV124" s="22">
        <v>0.13133120149999999</v>
      </c>
      <c r="AW124" s="22">
        <v>86.025000000000006</v>
      </c>
      <c r="AX124" s="22">
        <v>95.091999999999999</v>
      </c>
      <c r="AY124" s="22">
        <v>2</v>
      </c>
      <c r="AZ124" s="24">
        <v>28052</v>
      </c>
      <c r="BA124" s="24">
        <f t="shared" si="29"/>
        <v>4.4479638302267448</v>
      </c>
      <c r="BB124" s="24">
        <v>7571</v>
      </c>
      <c r="BC124" s="24">
        <f t="shared" si="30"/>
        <v>3.879153246184246</v>
      </c>
      <c r="BD124" s="24">
        <v>20481</v>
      </c>
      <c r="BE124" s="22">
        <v>5682</v>
      </c>
      <c r="BF124" s="22">
        <f t="shared" si="56"/>
        <v>641.5</v>
      </c>
      <c r="BG124" s="23">
        <v>0.29165719481700386</v>
      </c>
      <c r="BH124" s="23">
        <v>7.9011040965597801E-2</v>
      </c>
      <c r="BI124" s="23">
        <v>5.6569319599295294E-2</v>
      </c>
      <c r="BJ124" s="23">
        <v>5.6992482676022388E-2</v>
      </c>
      <c r="BK124" s="23">
        <v>0.3967118842027238</v>
      </c>
      <c r="BL124" s="22">
        <v>4399</v>
      </c>
      <c r="BM124" s="22">
        <v>7106</v>
      </c>
      <c r="BN124" s="22">
        <f t="shared" si="57"/>
        <v>251</v>
      </c>
      <c r="BO124" s="22">
        <v>3.8516252031533091</v>
      </c>
      <c r="BP124" s="22">
        <v>0.25331527163838585</v>
      </c>
      <c r="BQ124" s="22">
        <v>1.0279388894299538E-2</v>
      </c>
      <c r="BR124" s="22">
        <v>3.6302118210975315E-3</v>
      </c>
      <c r="BS124" s="22">
        <v>-1716</v>
      </c>
      <c r="BT124" s="22">
        <v>3.2345172835126865</v>
      </c>
      <c r="BU124" s="22">
        <v>2.3861834969546959E-2</v>
      </c>
      <c r="BV124" s="23">
        <v>6536</v>
      </c>
      <c r="BW124" s="22">
        <v>5873</v>
      </c>
      <c r="BX124" s="22">
        <v>62.98</v>
      </c>
      <c r="BY124" s="22">
        <v>1.799202656300525</v>
      </c>
      <c r="BZ124" s="25">
        <v>-9.9642601858470417E-2</v>
      </c>
      <c r="CA124" s="23">
        <v>3.947932438714675</v>
      </c>
      <c r="CB124" s="23">
        <v>394.7932438714675</v>
      </c>
      <c r="CC124" s="23">
        <v>2.5963697119447957</v>
      </c>
      <c r="CD124" s="23">
        <v>4.6043257728450531</v>
      </c>
      <c r="CE124" s="23">
        <v>15.998200940326045</v>
      </c>
      <c r="CF124" s="23">
        <v>1.2802491103202847</v>
      </c>
      <c r="CG124" s="23">
        <f t="shared" si="31"/>
        <v>0.24705467643373141</v>
      </c>
      <c r="CH124" s="26">
        <v>22.5</v>
      </c>
      <c r="CI124" s="26">
        <v>11.56</v>
      </c>
      <c r="CJ124" s="26">
        <v>1.3521825181113625</v>
      </c>
      <c r="CK124" s="26">
        <v>1.0629578340845103</v>
      </c>
      <c r="CL124" s="26">
        <v>0.94636678200692037</v>
      </c>
      <c r="CM124" s="27">
        <v>18.34360153256705</v>
      </c>
      <c r="CN124" s="27">
        <v>0.37954130333231201</v>
      </c>
      <c r="CQ124" s="27">
        <v>77.833846153846167</v>
      </c>
      <c r="CR124" s="27">
        <v>0.14479088628430173</v>
      </c>
      <c r="CS124" s="27">
        <v>0.72605363984674265</v>
      </c>
      <c r="CT124" s="27">
        <v>0.84238461538461584</v>
      </c>
      <c r="CU124" s="27">
        <v>-0.13809722235342442</v>
      </c>
      <c r="CV124" s="27">
        <v>0.78180076628352502</v>
      </c>
      <c r="CW124" s="27">
        <v>1.8930960917710087</v>
      </c>
      <c r="CX124" s="28">
        <v>0.88</v>
      </c>
      <c r="CY124" s="28">
        <v>0.56000000000000005</v>
      </c>
      <c r="CZ124" s="29">
        <v>19.614636019999999</v>
      </c>
      <c r="DA124" s="27">
        <v>0.18685412683753744</v>
      </c>
      <c r="DB124" s="27">
        <v>2.3607257116750975</v>
      </c>
      <c r="DC124" s="27">
        <v>1.322681365714484</v>
      </c>
      <c r="DD124" s="27">
        <v>1</v>
      </c>
      <c r="DE124" s="27">
        <v>0</v>
      </c>
      <c r="DF124" s="27">
        <v>96.5</v>
      </c>
      <c r="DG124" s="28">
        <v>4.5695430083449402</v>
      </c>
      <c r="DH124" s="27">
        <v>0.95938999999999997</v>
      </c>
      <c r="DI124" s="27">
        <v>1.9</v>
      </c>
      <c r="DJ124" s="27">
        <v>1.7</v>
      </c>
      <c r="DK124" s="27">
        <v>1.8</v>
      </c>
      <c r="DL124" s="27">
        <v>1.679984422560547E-2</v>
      </c>
      <c r="DM124" s="27">
        <v>0.6855</v>
      </c>
      <c r="DN124" s="28">
        <v>0.84760000000000002</v>
      </c>
      <c r="DO124" s="28">
        <v>0.14154882154882151</v>
      </c>
      <c r="DP124" s="28">
        <f t="shared" si="58"/>
        <v>-9.5288372706876123E-2</v>
      </c>
      <c r="DQ124" s="27">
        <v>0.10279999999999989</v>
      </c>
      <c r="DR124" s="27">
        <v>2.77430650961079E-2</v>
      </c>
      <c r="DS124" s="27">
        <v>5.0662060808238797E-2</v>
      </c>
      <c r="DT124" s="27">
        <v>2.4490842135800685E-2</v>
      </c>
      <c r="DU124" s="30">
        <v>4.6191050000000002</v>
      </c>
      <c r="DV124">
        <v>-0.9</v>
      </c>
      <c r="DW124">
        <v>-0.7</v>
      </c>
      <c r="DX124">
        <v>96.2</v>
      </c>
      <c r="DY124">
        <v>92.4</v>
      </c>
      <c r="DZ124">
        <v>2.1</v>
      </c>
      <c r="EA124">
        <v>1.9</v>
      </c>
      <c r="EB124">
        <v>2.1588159999999998</v>
      </c>
    </row>
    <row r="125" spans="1:132" ht="18">
      <c r="A125" s="14" t="s">
        <v>157</v>
      </c>
      <c r="B125" s="14">
        <v>7</v>
      </c>
      <c r="C125" s="14" t="s">
        <v>141</v>
      </c>
      <c r="D125" s="14" t="s">
        <v>142</v>
      </c>
      <c r="E125" s="14" t="s">
        <v>145</v>
      </c>
      <c r="F125" s="15">
        <v>15142</v>
      </c>
      <c r="G125" s="15">
        <v>4.1801832418482272</v>
      </c>
      <c r="H125" s="15">
        <v>15070</v>
      </c>
      <c r="I125" s="15">
        <v>68</v>
      </c>
      <c r="J125" s="16">
        <v>0</v>
      </c>
      <c r="K125" s="16">
        <v>1</v>
      </c>
      <c r="L125" s="17">
        <v>0.21034353424923943</v>
      </c>
      <c r="M125" s="18">
        <v>100</v>
      </c>
      <c r="N125" s="18">
        <v>59</v>
      </c>
      <c r="O125" s="18">
        <v>0.95660899653979248</v>
      </c>
      <c r="P125" s="18">
        <v>2</v>
      </c>
      <c r="Q125" s="18">
        <f t="shared" si="55"/>
        <v>2</v>
      </c>
      <c r="R125" s="18">
        <v>100</v>
      </c>
      <c r="S125" s="18">
        <v>5</v>
      </c>
      <c r="T125" s="19">
        <v>15472</v>
      </c>
      <c r="U125" s="19">
        <v>4.1895464567389267</v>
      </c>
      <c r="V125" s="20">
        <v>44698</v>
      </c>
      <c r="W125" s="20">
        <v>4.6502880911767708</v>
      </c>
      <c r="X125" s="20">
        <v>0.4551128669320762</v>
      </c>
      <c r="Y125" s="20">
        <v>0.54789057839999999</v>
      </c>
      <c r="Z125" s="20">
        <f t="shared" si="27"/>
        <v>-0.26130616768734105</v>
      </c>
      <c r="AA125" s="20"/>
      <c r="AB125" s="20"/>
      <c r="AC125" s="20">
        <v>29402</v>
      </c>
      <c r="AD125" s="21">
        <v>1896</v>
      </c>
      <c r="AE125" s="21">
        <f t="shared" si="53"/>
        <v>2.6338088821592786E-2</v>
      </c>
      <c r="AF125" s="21">
        <f t="shared" si="54"/>
        <v>3.2778383330020473</v>
      </c>
      <c r="AG125" s="23">
        <v>6.3553141539444621E-2</v>
      </c>
      <c r="AH125" s="22">
        <v>4575</v>
      </c>
      <c r="AI125" s="22">
        <v>1.3251314590000001</v>
      </c>
      <c r="AJ125" s="22">
        <v>98213</v>
      </c>
      <c r="AK125" s="23">
        <f t="shared" si="37"/>
        <v>4.9921689771412492</v>
      </c>
      <c r="AL125" s="24">
        <v>0.56123041200000001</v>
      </c>
      <c r="AM125" s="22">
        <f>17571+9345</f>
        <v>26916</v>
      </c>
      <c r="AN125" s="22">
        <f t="shared" si="48"/>
        <v>0.37390084320780143</v>
      </c>
      <c r="AO125" s="23">
        <v>0.1556877539175856</v>
      </c>
      <c r="AP125" s="33">
        <v>4.0435066999999998E-2</v>
      </c>
      <c r="AQ125" s="23">
        <v>0.60675816706345653</v>
      </c>
      <c r="AR125" s="22">
        <v>71987</v>
      </c>
      <c r="AS125" s="23">
        <v>4.8572540750698945</v>
      </c>
      <c r="AT125" s="23">
        <v>4.8568134457497569</v>
      </c>
      <c r="AU125" s="22">
        <v>0.19500000000000001</v>
      </c>
      <c r="AV125" s="22">
        <v>0.131747687</v>
      </c>
      <c r="AW125" s="22">
        <v>59.725000000000001</v>
      </c>
      <c r="AX125" s="22">
        <v>86.025000000000006</v>
      </c>
      <c r="AY125" s="22">
        <v>2</v>
      </c>
      <c r="AZ125" s="24">
        <v>27568</v>
      </c>
      <c r="BA125" s="24">
        <f t="shared" si="29"/>
        <v>4.4404052601039536</v>
      </c>
      <c r="BB125" s="24">
        <v>7337</v>
      </c>
      <c r="BC125" s="24">
        <f t="shared" si="30"/>
        <v>3.8655185190747741</v>
      </c>
      <c r="BD125" s="24">
        <v>20231</v>
      </c>
      <c r="BE125" s="22">
        <v>4292</v>
      </c>
      <c r="BF125" s="22">
        <f t="shared" si="56"/>
        <v>695</v>
      </c>
      <c r="BG125" s="23">
        <v>-0.24463217177050334</v>
      </c>
      <c r="BH125" s="23">
        <v>5.9621876172086627E-2</v>
      </c>
      <c r="BI125" s="23">
        <v>7.9011040965597801E-2</v>
      </c>
      <c r="BJ125" s="23">
        <v>5.6992482676022388E-2</v>
      </c>
      <c r="BK125" s="23">
        <v>-0.24539816912364704</v>
      </c>
      <c r="BL125" s="22">
        <v>5682</v>
      </c>
      <c r="BM125" s="22">
        <v>8523</v>
      </c>
      <c r="BN125" s="22">
        <f t="shared" si="57"/>
        <v>708.5</v>
      </c>
      <c r="BO125" s="22">
        <v>3.9305924884425982</v>
      </c>
      <c r="BP125" s="22">
        <v>0.30916279744631459</v>
      </c>
      <c r="BQ125" s="22">
        <v>2.7923762903964366E-2</v>
      </c>
      <c r="BR125" s="22">
        <v>1.0279388894299538E-2</v>
      </c>
      <c r="BS125" s="22">
        <v>-2154</v>
      </c>
      <c r="BT125" s="22">
        <v>3.3332456989619628</v>
      </c>
      <c r="BU125" s="22">
        <v>2.9922069262505731E-2</v>
      </c>
      <c r="BV125" s="23">
        <v>5963</v>
      </c>
      <c r="BW125" s="22">
        <v>5938</v>
      </c>
      <c r="BX125" s="22">
        <v>45.4</v>
      </c>
      <c r="BY125" s="22">
        <v>1.657055852857104</v>
      </c>
      <c r="BZ125" s="25">
        <v>-0.27913623372499202</v>
      </c>
      <c r="CA125" s="23">
        <v>15.998200940326045</v>
      </c>
      <c r="CB125" s="23">
        <v>1599.8200940326046</v>
      </c>
      <c r="CC125" s="23">
        <v>3.2040711473047567</v>
      </c>
      <c r="CD125" s="23">
        <v>3.947932438714675</v>
      </c>
      <c r="CE125" s="23">
        <v>5.8322610508718871</v>
      </c>
      <c r="CF125" s="23">
        <v>1.8552412645590683</v>
      </c>
      <c r="CG125" s="23">
        <f t="shared" si="31"/>
        <v>0.61801474935901157</v>
      </c>
      <c r="CH125" s="26">
        <v>40</v>
      </c>
      <c r="CI125" s="26">
        <v>22.5</v>
      </c>
      <c r="CJ125" s="26">
        <v>1.6020599913279623</v>
      </c>
      <c r="CK125" s="26">
        <v>1.3521825181113625</v>
      </c>
      <c r="CL125" s="26">
        <v>0.77777777777777779</v>
      </c>
      <c r="CM125" s="27">
        <v>34.430804597701169</v>
      </c>
      <c r="CN125" s="27">
        <v>0.87699261437690179</v>
      </c>
      <c r="CO125" s="27">
        <v>14.002720000000007</v>
      </c>
      <c r="CQ125" s="27">
        <v>141.16230769230771</v>
      </c>
      <c r="CR125" s="27">
        <v>0.81363654332700808</v>
      </c>
      <c r="CS125" s="27">
        <v>1.4151340996168575</v>
      </c>
      <c r="CT125" s="27">
        <v>0.72605363984674265</v>
      </c>
      <c r="CU125" s="27">
        <v>0.94907651715039654</v>
      </c>
      <c r="CV125" s="27">
        <v>1.549389312977099</v>
      </c>
      <c r="CW125" s="27">
        <v>2.1901605560639821</v>
      </c>
      <c r="CX125" s="28">
        <v>2.34</v>
      </c>
      <c r="CY125" s="28">
        <v>0.88</v>
      </c>
      <c r="CZ125" s="29">
        <v>33.709007630000002</v>
      </c>
      <c r="DA125" s="27">
        <v>0.71856401493398725</v>
      </c>
      <c r="DB125" s="27">
        <v>3.1430399491928545</v>
      </c>
      <c r="DC125" s="27">
        <v>2.3607257116750975</v>
      </c>
      <c r="DD125" s="27">
        <v>1</v>
      </c>
      <c r="DE125" s="27">
        <v>-0.4</v>
      </c>
      <c r="DF125" s="27">
        <v>98.8</v>
      </c>
      <c r="DG125" s="28">
        <v>4.5930976047538223</v>
      </c>
      <c r="DH125" s="27">
        <v>0.97638000000000003</v>
      </c>
      <c r="DI125" s="27">
        <v>1.8</v>
      </c>
      <c r="DJ125" s="27">
        <v>1.8</v>
      </c>
      <c r="DK125" s="27">
        <v>2</v>
      </c>
      <c r="DL125" s="27">
        <v>4.1965997035105826E-2</v>
      </c>
      <c r="DM125" s="27">
        <v>0.71560000000000001</v>
      </c>
      <c r="DN125" s="28">
        <v>0.75849999999999995</v>
      </c>
      <c r="DO125" s="28">
        <v>-0.10512033978291654</v>
      </c>
      <c r="DP125" s="28">
        <f t="shared" si="58"/>
        <v>4.3909555069292512E-2</v>
      </c>
      <c r="DQ125" s="27">
        <v>0.17789999999999995</v>
      </c>
      <c r="DR125" s="27">
        <v>5.0662060808238797E-2</v>
      </c>
      <c r="DS125" s="27">
        <v>3.802148779895468E-2</v>
      </c>
      <c r="DT125" s="27">
        <v>2.77430650961079E-2</v>
      </c>
      <c r="DU125" s="30">
        <v>5.7984980000000004</v>
      </c>
      <c r="DV125">
        <v>-1</v>
      </c>
      <c r="DW125">
        <v>0.7</v>
      </c>
      <c r="DX125">
        <v>98</v>
      </c>
      <c r="DY125">
        <v>95</v>
      </c>
      <c r="DZ125">
        <v>1.6</v>
      </c>
      <c r="EA125">
        <v>1.7</v>
      </c>
      <c r="EB125">
        <v>2.0603549999999999</v>
      </c>
    </row>
    <row r="126" spans="1:132" ht="18">
      <c r="A126" s="14" t="s">
        <v>157</v>
      </c>
      <c r="B126" s="14">
        <v>8</v>
      </c>
      <c r="C126" s="14" t="s">
        <v>141</v>
      </c>
      <c r="D126" s="14" t="s">
        <v>142</v>
      </c>
      <c r="E126" s="14" t="s">
        <v>145</v>
      </c>
      <c r="F126" s="15">
        <v>15268</v>
      </c>
      <c r="G126" s="15">
        <v>4.183782151277061</v>
      </c>
      <c r="H126" s="15">
        <v>13106</v>
      </c>
      <c r="I126" s="15">
        <v>2122</v>
      </c>
      <c r="J126" s="16">
        <v>0</v>
      </c>
      <c r="K126" s="16">
        <v>1</v>
      </c>
      <c r="L126" s="17">
        <v>0.19025308095849272</v>
      </c>
      <c r="M126" s="18">
        <v>100</v>
      </c>
      <c r="N126" s="18">
        <v>59</v>
      </c>
      <c r="O126" s="18">
        <v>0.95660899653979248</v>
      </c>
      <c r="P126" s="18">
        <v>2</v>
      </c>
      <c r="Q126" s="18">
        <f t="shared" si="55"/>
        <v>2</v>
      </c>
      <c r="R126" s="18">
        <v>100</v>
      </c>
      <c r="S126" s="18">
        <v>5</v>
      </c>
      <c r="T126" s="19">
        <v>19368</v>
      </c>
      <c r="U126" s="19">
        <v>4.2870847764336766</v>
      </c>
      <c r="V126" s="20">
        <v>46971</v>
      </c>
      <c r="W126" s="20">
        <v>4.6718298062947854</v>
      </c>
      <c r="X126" s="20">
        <v>0.4479102100756196</v>
      </c>
      <c r="Y126" s="20">
        <v>0.50982712860000001</v>
      </c>
      <c r="Z126" s="20">
        <f t="shared" si="27"/>
        <v>-0.29257705884750196</v>
      </c>
      <c r="AA126" s="20"/>
      <c r="AB126" s="20"/>
      <c r="AC126" s="20">
        <v>28430</v>
      </c>
      <c r="AD126" s="21">
        <v>762</v>
      </c>
      <c r="AE126" s="21">
        <f t="shared" si="53"/>
        <v>9.495208782445079E-3</v>
      </c>
      <c r="AF126" s="21">
        <f t="shared" si="54"/>
        <v>2.8819549713396007</v>
      </c>
      <c r="AG126" s="23">
        <v>5.710832263772414E-2</v>
      </c>
      <c r="AH126" s="22">
        <v>4583</v>
      </c>
      <c r="AI126" s="22">
        <v>1.4943392339999999</v>
      </c>
      <c r="AJ126" s="22">
        <v>104867</v>
      </c>
      <c r="AK126" s="23">
        <f t="shared" si="37"/>
        <v>5.0206388440310246</v>
      </c>
      <c r="AL126" s="24">
        <v>0.65026019800000001</v>
      </c>
      <c r="AM126" s="22">
        <f>19205+10965</f>
        <v>30170</v>
      </c>
      <c r="AN126" s="22">
        <f t="shared" si="48"/>
        <v>0.37594547108447246</v>
      </c>
      <c r="AO126" s="23">
        <v>0.19106933019976499</v>
      </c>
      <c r="AP126" s="33">
        <v>1.4762178000000001E-2</v>
      </c>
      <c r="AQ126" s="23">
        <v>0.169150437676723</v>
      </c>
      <c r="AR126" s="22">
        <v>80251</v>
      </c>
      <c r="AS126" s="23">
        <v>4.9044504528124371</v>
      </c>
      <c r="AT126" s="23">
        <v>4.8572540750698945</v>
      </c>
      <c r="AU126" s="22">
        <v>0.23599999999999999</v>
      </c>
      <c r="AV126" s="22">
        <v>0.181556196</v>
      </c>
      <c r="AW126" s="22">
        <v>72.594999999999999</v>
      </c>
      <c r="AX126" s="22">
        <v>59.725000000000001</v>
      </c>
      <c r="AY126" s="22">
        <v>2</v>
      </c>
      <c r="AZ126" s="24">
        <v>29785</v>
      </c>
      <c r="BA126" s="24">
        <f t="shared" si="29"/>
        <v>4.4739976044348637</v>
      </c>
      <c r="BB126" s="24">
        <v>8107</v>
      </c>
      <c r="BC126" s="24">
        <f t="shared" si="30"/>
        <v>3.9088601730172767</v>
      </c>
      <c r="BD126" s="24">
        <v>21678</v>
      </c>
      <c r="BE126" s="22">
        <v>5691</v>
      </c>
      <c r="BF126" s="22">
        <f t="shared" si="56"/>
        <v>699.5</v>
      </c>
      <c r="BG126" s="23">
        <v>0.32595526561043803</v>
      </c>
      <c r="BH126" s="23">
        <v>7.0915004174402815E-2</v>
      </c>
      <c r="BI126" s="23">
        <v>5.9621876172086627E-2</v>
      </c>
      <c r="BJ126" s="23">
        <v>5.6992482676022388E-2</v>
      </c>
      <c r="BK126" s="23">
        <v>0.18941248963251059</v>
      </c>
      <c r="BL126" s="22">
        <v>4292</v>
      </c>
      <c r="BM126" s="22">
        <v>8602</v>
      </c>
      <c r="BN126" s="22">
        <f t="shared" si="57"/>
        <v>39.5</v>
      </c>
      <c r="BO126" s="22">
        <v>3.9345994382180729</v>
      </c>
      <c r="BP126" s="22">
        <v>0.2888030888030888</v>
      </c>
      <c r="BQ126" s="22">
        <v>1.0179854321612891E-2</v>
      </c>
      <c r="BR126" s="22">
        <v>2.7923762903964366E-2</v>
      </c>
      <c r="BS126" s="22">
        <v>-7372</v>
      </c>
      <c r="BT126" s="22">
        <v>3.8675853265470361</v>
      </c>
      <c r="BU126" s="22">
        <v>9.186178365378625E-2</v>
      </c>
      <c r="BV126" s="23">
        <v>8160</v>
      </c>
      <c r="BW126" s="22">
        <v>8820</v>
      </c>
      <c r="BX126" s="22">
        <v>55.06</v>
      </c>
      <c r="BY126" s="22">
        <v>1.7408362070573116</v>
      </c>
      <c r="BZ126" s="25">
        <v>0.21277533039647586</v>
      </c>
      <c r="CA126" s="23">
        <v>5.8322610508718871</v>
      </c>
      <c r="CB126" s="23">
        <v>583.22610508718867</v>
      </c>
      <c r="CC126" s="23">
        <v>2.7658369546816335</v>
      </c>
      <c r="CD126" s="23">
        <v>15.998200940326045</v>
      </c>
      <c r="CE126" s="23">
        <v>7.1555148383187932</v>
      </c>
      <c r="CF126" s="23">
        <v>1.4778761061946901</v>
      </c>
      <c r="CG126" s="23">
        <f t="shared" si="31"/>
        <v>0.39060599370441446</v>
      </c>
      <c r="CH126" s="26">
        <v>21.68</v>
      </c>
      <c r="CI126" s="26">
        <v>40</v>
      </c>
      <c r="CJ126" s="26">
        <v>1.3360592778663494</v>
      </c>
      <c r="CK126" s="26">
        <v>1.6020599913279623</v>
      </c>
      <c r="CL126" s="26">
        <v>-0.45800000000000002</v>
      </c>
      <c r="CM126" s="27">
        <v>32.806781609195411</v>
      </c>
      <c r="CN126" s="27">
        <v>-4.7167732717294325E-2</v>
      </c>
      <c r="CO126" s="27">
        <v>14.687391304347829</v>
      </c>
      <c r="CP126" s="27">
        <v>4.8895593452402179E-2</v>
      </c>
      <c r="CQ126" s="27">
        <v>128.33115384615388</v>
      </c>
      <c r="CR126" s="27">
        <v>-9.0896458522922177E-2</v>
      </c>
      <c r="CS126" s="27">
        <v>1.3546743295019157</v>
      </c>
      <c r="CT126" s="27">
        <v>1.4151340996168575</v>
      </c>
      <c r="CU126" s="27">
        <v>-4.272370380397951E-2</v>
      </c>
      <c r="CV126" s="27">
        <v>1.5608045977011498</v>
      </c>
      <c r="CW126" s="27">
        <v>2.1933485357004661</v>
      </c>
      <c r="CX126" s="28">
        <v>1.03</v>
      </c>
      <c r="CY126" s="28">
        <v>2.34</v>
      </c>
      <c r="CZ126" s="29">
        <v>33.580881230000003</v>
      </c>
      <c r="DA126" s="27">
        <v>-3.8009543741646867E-3</v>
      </c>
      <c r="DB126" s="27">
        <v>1.4102002336892525</v>
      </c>
      <c r="DC126" s="27">
        <v>3.1430399491928545</v>
      </c>
      <c r="DD126" s="27">
        <v>1</v>
      </c>
      <c r="DE126" s="27">
        <v>2.4</v>
      </c>
      <c r="DF126" s="27">
        <v>98.9</v>
      </c>
      <c r="DG126" s="28">
        <v>4.5941092386286666</v>
      </c>
      <c r="DH126" s="27">
        <v>0.99031999999999998</v>
      </c>
      <c r="DI126" s="27">
        <v>2</v>
      </c>
      <c r="DJ126" s="27">
        <v>3.5</v>
      </c>
      <c r="DK126" s="27">
        <v>2.6</v>
      </c>
      <c r="DL126" s="27">
        <v>2.4369778879479467E-2</v>
      </c>
      <c r="DM126" s="27">
        <v>0.69779999999999998</v>
      </c>
      <c r="DN126" s="28">
        <v>0.68400000000000005</v>
      </c>
      <c r="DO126" s="28">
        <v>-9.8220171390902972E-2</v>
      </c>
      <c r="DP126" s="28">
        <f t="shared" si="58"/>
        <v>-2.487423141419793E-2</v>
      </c>
      <c r="DQ126" s="27">
        <v>0.13560000000000005</v>
      </c>
      <c r="DR126" s="27">
        <v>3.802148779895468E-2</v>
      </c>
      <c r="DS126" s="27">
        <v>3.4239891893164551E-2</v>
      </c>
      <c r="DT126" s="27">
        <v>5.0662060808238797E-2</v>
      </c>
      <c r="DU126" s="30">
        <v>9.2708490000000001</v>
      </c>
      <c r="DV126">
        <v>2.2000000000000002</v>
      </c>
      <c r="DW126">
        <v>2.6</v>
      </c>
      <c r="DX126">
        <v>98.8</v>
      </c>
      <c r="DY126">
        <v>96.9</v>
      </c>
      <c r="DZ126">
        <v>1.3</v>
      </c>
      <c r="EA126">
        <v>2.5</v>
      </c>
      <c r="EB126">
        <v>1.1868369999999999</v>
      </c>
    </row>
    <row r="127" spans="1:132" ht="18">
      <c r="A127" s="14" t="s">
        <v>157</v>
      </c>
      <c r="B127" s="14">
        <v>9</v>
      </c>
      <c r="C127" s="14" t="s">
        <v>141</v>
      </c>
      <c r="D127" s="14" t="s">
        <v>142</v>
      </c>
      <c r="E127" s="14" t="s">
        <v>145</v>
      </c>
      <c r="F127" s="15">
        <v>7515</v>
      </c>
      <c r="G127" s="15">
        <v>3.8759289849229268</v>
      </c>
      <c r="H127" s="15">
        <v>7515</v>
      </c>
      <c r="I127" s="15">
        <v>0</v>
      </c>
      <c r="J127" s="16">
        <v>0</v>
      </c>
      <c r="K127" s="16">
        <v>0</v>
      </c>
      <c r="L127" s="17">
        <v>8.8138018389941827E-2</v>
      </c>
      <c r="M127" s="18">
        <v>100</v>
      </c>
      <c r="N127" s="18">
        <v>59</v>
      </c>
      <c r="O127" s="18">
        <v>0.95660899653979248</v>
      </c>
      <c r="P127" s="18">
        <v>2</v>
      </c>
      <c r="Q127" s="18">
        <f t="shared" si="55"/>
        <v>2</v>
      </c>
      <c r="R127" s="18">
        <v>100</v>
      </c>
      <c r="S127" s="18">
        <v>5</v>
      </c>
      <c r="T127" s="19">
        <v>21277</v>
      </c>
      <c r="U127" s="19">
        <v>4.3279103935810497</v>
      </c>
      <c r="V127" s="20">
        <v>46760</v>
      </c>
      <c r="W127" s="20">
        <v>4.6698745024898027</v>
      </c>
      <c r="X127" s="20">
        <v>0.46034949544671427</v>
      </c>
      <c r="Y127" s="20">
        <v>0.53094655960000003</v>
      </c>
      <c r="Z127" s="20">
        <f t="shared" si="27"/>
        <v>-0.27494918897275256</v>
      </c>
      <c r="AA127" s="20"/>
      <c r="AB127" s="20"/>
      <c r="AC127" s="20">
        <v>30402</v>
      </c>
      <c r="AD127" s="21">
        <v>10</v>
      </c>
      <c r="AE127" s="21">
        <f t="shared" si="53"/>
        <v>1.1728279226871833E-4</v>
      </c>
      <c r="AF127" s="21">
        <f t="shared" si="54"/>
        <v>1</v>
      </c>
      <c r="AG127" s="23">
        <v>5.1616156877462939E-2</v>
      </c>
      <c r="AH127" s="22">
        <v>4401</v>
      </c>
      <c r="AI127" s="22">
        <v>1.1772068760000001</v>
      </c>
      <c r="AJ127" s="22">
        <v>101575</v>
      </c>
      <c r="AK127" s="23">
        <f t="shared" si="37"/>
        <v>5.0067868309984496</v>
      </c>
      <c r="AL127" s="24">
        <v>0.65736707100000003</v>
      </c>
      <c r="AM127" s="22">
        <f>20217+10087</f>
        <v>30304</v>
      </c>
      <c r="AN127" s="22">
        <f t="shared" si="48"/>
        <v>0.35541377369112404</v>
      </c>
      <c r="AO127" s="23">
        <v>0.17675410139957365</v>
      </c>
      <c r="AP127" s="33">
        <v>5.6655500000000005E-4</v>
      </c>
      <c r="AQ127" s="23">
        <v>-1.2467579233344663</v>
      </c>
      <c r="AR127" s="22">
        <v>85264</v>
      </c>
      <c r="AS127" s="23">
        <v>4.9307657028968368</v>
      </c>
      <c r="AT127" s="23">
        <v>4.9044504528124371</v>
      </c>
      <c r="AU127" s="22">
        <v>0.20599999999999999</v>
      </c>
      <c r="AV127" s="22">
        <v>0.15091577840000001</v>
      </c>
      <c r="AW127" s="22">
        <v>62.731000000000002</v>
      </c>
      <c r="AX127" s="22">
        <v>72.594999999999999</v>
      </c>
      <c r="AY127" s="22">
        <v>2</v>
      </c>
      <c r="AZ127" s="24">
        <v>32367</v>
      </c>
      <c r="BA127" s="24">
        <f t="shared" si="29"/>
        <v>4.5101024478170304</v>
      </c>
      <c r="BB127" s="24">
        <v>9398</v>
      </c>
      <c r="BC127" s="24">
        <f t="shared" si="30"/>
        <v>3.973035440686933</v>
      </c>
      <c r="BD127" s="24">
        <v>22969</v>
      </c>
      <c r="BE127" s="22">
        <v>5721</v>
      </c>
      <c r="BF127" s="22">
        <f t="shared" si="56"/>
        <v>15</v>
      </c>
      <c r="BG127" s="23">
        <v>5.2714812862414339E-3</v>
      </c>
      <c r="BH127" s="23">
        <v>6.7097485456933753E-2</v>
      </c>
      <c r="BI127" s="23">
        <v>7.0915004174402815E-2</v>
      </c>
      <c r="BJ127" s="23">
        <v>5.6992482676022388E-2</v>
      </c>
      <c r="BK127" s="23">
        <v>-5.3832313230646585E-2</v>
      </c>
      <c r="BL127" s="22">
        <v>5691</v>
      </c>
      <c r="BM127" s="22">
        <v>9859</v>
      </c>
      <c r="BN127" s="22">
        <f t="shared" si="57"/>
        <v>628.5</v>
      </c>
      <c r="BO127" s="22">
        <v>3.9938328666139862</v>
      </c>
      <c r="BP127" s="22">
        <v>0.30460036456885098</v>
      </c>
      <c r="BQ127" s="22">
        <v>7.8986378828810877E-3</v>
      </c>
      <c r="BR127" s="22">
        <v>1.0179854321612891E-2</v>
      </c>
      <c r="BS127" s="22">
        <v>-3475</v>
      </c>
      <c r="BT127" s="22">
        <v>3.5409548089261329</v>
      </c>
      <c r="BU127" s="22">
        <v>4.0755770313379618E-2</v>
      </c>
      <c r="BV127" s="23">
        <v>8121</v>
      </c>
      <c r="BW127" s="22">
        <v>8042</v>
      </c>
      <c r="BX127" s="22">
        <v>47.85</v>
      </c>
      <c r="BY127" s="22">
        <v>1.6798819421128623</v>
      </c>
      <c r="BZ127" s="25">
        <v>-0.13094805666545586</v>
      </c>
      <c r="CA127" s="23">
        <v>7.1555148383187932</v>
      </c>
      <c r="CB127" s="23">
        <v>715.5514838318793</v>
      </c>
      <c r="CC127" s="23">
        <v>2.8546408866488413</v>
      </c>
      <c r="CD127" s="23">
        <v>5.8322610508718871</v>
      </c>
      <c r="CE127" s="23">
        <v>5.4867350811381188</v>
      </c>
      <c r="CF127" s="23">
        <v>1.3383321972279028</v>
      </c>
      <c r="CG127" s="23">
        <f t="shared" si="31"/>
        <v>0.29142420983454098</v>
      </c>
      <c r="CH127" s="26">
        <v>17.75</v>
      </c>
      <c r="CI127" s="26">
        <v>21.68</v>
      </c>
      <c r="CJ127" s="26">
        <v>1.249198357391113</v>
      </c>
      <c r="CK127" s="26">
        <v>1.3360592778663494</v>
      </c>
      <c r="CL127" s="26">
        <v>-0.18127306273062729</v>
      </c>
      <c r="CM127" s="27">
        <v>23.674061302682002</v>
      </c>
      <c r="CN127" s="27">
        <v>-0.27837903806917774</v>
      </c>
      <c r="CO127" s="27">
        <v>13.172845849802364</v>
      </c>
      <c r="CP127" s="27">
        <v>-0.10311875153058132</v>
      </c>
      <c r="CQ127" s="27">
        <v>93.814615384615436</v>
      </c>
      <c r="CR127" s="27">
        <v>-0.26896460779054171</v>
      </c>
      <c r="CS127" s="27">
        <v>1.0575095785440605</v>
      </c>
      <c r="CT127" s="27">
        <v>1.3546743295019157</v>
      </c>
      <c r="CU127" s="27">
        <v>-0.21936250247475808</v>
      </c>
      <c r="CV127" s="27">
        <v>1.2699233716475098</v>
      </c>
      <c r="CW127" s="27">
        <v>2.1037775160152683</v>
      </c>
      <c r="CX127" s="28">
        <v>0.92</v>
      </c>
      <c r="CY127" s="28">
        <v>1.03</v>
      </c>
      <c r="CZ127" s="29">
        <v>26.404674329999999</v>
      </c>
      <c r="DA127" s="27">
        <v>-0.21369918349816944</v>
      </c>
      <c r="DB127" s="27">
        <v>3.3676575479931978</v>
      </c>
      <c r="DC127" s="27">
        <v>1.4102002336892525</v>
      </c>
      <c r="DD127" s="27">
        <v>1</v>
      </c>
      <c r="DE127" s="27">
        <v>2.2999999999999998</v>
      </c>
      <c r="DF127" s="27">
        <v>100</v>
      </c>
      <c r="DG127" s="28">
        <v>4.6051701859880918</v>
      </c>
      <c r="DH127" s="27">
        <v>1</v>
      </c>
      <c r="DI127" s="27">
        <v>1.8</v>
      </c>
      <c r="DJ127" s="27">
        <v>2</v>
      </c>
      <c r="DK127" s="27">
        <v>2.5</v>
      </c>
      <c r="DL127" s="27">
        <v>2.4833477735949187E-2</v>
      </c>
      <c r="DM127" s="27">
        <v>0.74709999999999999</v>
      </c>
      <c r="DN127" s="28">
        <v>0.71719999999999995</v>
      </c>
      <c r="DO127" s="28">
        <v>4.8538011695906276E-2</v>
      </c>
      <c r="DP127" s="28">
        <f t="shared" si="58"/>
        <v>7.0650616222413323E-2</v>
      </c>
      <c r="DQ127" s="27">
        <v>0.14990000000000003</v>
      </c>
      <c r="DR127" s="27">
        <v>3.4239891893164551E-2</v>
      </c>
      <c r="DS127" s="27">
        <v>2.4180879115385762E-2</v>
      </c>
      <c r="DT127" s="27">
        <v>3.802148779895468E-2</v>
      </c>
      <c r="DU127" s="30">
        <v>9.6228090000000002</v>
      </c>
      <c r="DV127">
        <v>2.7</v>
      </c>
      <c r="DW127">
        <v>2.9</v>
      </c>
      <c r="DX127">
        <v>100</v>
      </c>
      <c r="DY127">
        <v>100</v>
      </c>
      <c r="DZ127">
        <v>0.2</v>
      </c>
      <c r="EA127">
        <v>2</v>
      </c>
      <c r="EB127">
        <v>1.2855829999999999</v>
      </c>
    </row>
    <row r="128" spans="1:132" ht="18">
      <c r="A128" s="14" t="s">
        <v>157</v>
      </c>
      <c r="B128" s="14">
        <v>10</v>
      </c>
      <c r="C128" s="14" t="s">
        <v>141</v>
      </c>
      <c r="D128" s="14" t="s">
        <v>142</v>
      </c>
      <c r="E128" s="14" t="s">
        <v>145</v>
      </c>
      <c r="F128" s="15">
        <v>12142</v>
      </c>
      <c r="G128" s="15">
        <v>4.08429022853693</v>
      </c>
      <c r="H128" s="15">
        <v>12142</v>
      </c>
      <c r="I128" s="15">
        <v>0</v>
      </c>
      <c r="J128" s="16">
        <v>0</v>
      </c>
      <c r="K128" s="16">
        <v>0</v>
      </c>
      <c r="L128" s="17">
        <v>0.12121998702141466</v>
      </c>
      <c r="M128" s="18">
        <v>100</v>
      </c>
      <c r="N128" s="18">
        <v>59</v>
      </c>
      <c r="O128" s="18">
        <v>0.95660899653979248</v>
      </c>
      <c r="P128" s="18">
        <v>2</v>
      </c>
      <c r="Q128" s="18">
        <f t="shared" si="55"/>
        <v>2</v>
      </c>
      <c r="R128" s="18">
        <v>100</v>
      </c>
      <c r="S128" s="18">
        <v>5</v>
      </c>
      <c r="T128" s="19">
        <v>24140</v>
      </c>
      <c r="U128" s="19">
        <v>4.3827372657613308</v>
      </c>
      <c r="V128" s="20">
        <v>55380</v>
      </c>
      <c r="W128" s="20">
        <v>4.7433529514095554</v>
      </c>
      <c r="X128" s="20">
        <v>0.48698986097310037</v>
      </c>
      <c r="Y128" s="20">
        <v>0.59945012669999997</v>
      </c>
      <c r="Z128" s="20">
        <f t="shared" si="27"/>
        <v>-0.22224694367436626</v>
      </c>
      <c r="AA128" s="20"/>
      <c r="AB128" s="20"/>
      <c r="AC128" s="20">
        <v>47531</v>
      </c>
      <c r="AD128" s="21">
        <v>7074</v>
      </c>
      <c r="AE128" s="21">
        <f t="shared" si="53"/>
        <v>7.062347127240054E-2</v>
      </c>
      <c r="AF128" s="21">
        <f t="shared" si="54"/>
        <v>3.8496650554787326</v>
      </c>
      <c r="AG128" s="23">
        <v>4.0942444965806422E-2</v>
      </c>
      <c r="AH128" s="22">
        <v>4101</v>
      </c>
      <c r="AI128" s="22">
        <v>1.3495007889999999</v>
      </c>
      <c r="AJ128" s="22">
        <v>113719</v>
      </c>
      <c r="AK128" s="23">
        <f t="shared" si="37"/>
        <v>5.0558330320209421</v>
      </c>
      <c r="AL128" s="24">
        <v>0.72299260200000004</v>
      </c>
      <c r="AM128" s="22">
        <f>30192+13564</f>
        <v>43756</v>
      </c>
      <c r="AN128" s="22">
        <f t="shared" si="48"/>
        <v>0.43683921529476366</v>
      </c>
      <c r="AO128" s="23">
        <v>0.17772320225223875</v>
      </c>
      <c r="AP128" s="33">
        <v>2.2544279E-2</v>
      </c>
      <c r="AQ128" s="23">
        <v>0.35303635047299414</v>
      </c>
      <c r="AR128" s="22">
        <v>100165</v>
      </c>
      <c r="AS128" s="23">
        <v>5.0007159953612748</v>
      </c>
      <c r="AT128" s="23">
        <v>4.9307657028968368</v>
      </c>
      <c r="AU128" s="22">
        <v>0.33</v>
      </c>
      <c r="AV128" s="22">
        <v>0.26524676800000002</v>
      </c>
      <c r="AW128" s="22">
        <v>76.096999999999994</v>
      </c>
      <c r="AX128" s="22">
        <v>62.731000000000002</v>
      </c>
      <c r="AY128" s="22">
        <v>2</v>
      </c>
      <c r="AZ128" s="24">
        <v>33389</v>
      </c>
      <c r="BA128" s="24">
        <f t="shared" si="29"/>
        <v>4.5236034121365689</v>
      </c>
      <c r="BB128" s="24">
        <v>10902</v>
      </c>
      <c r="BC128" s="24">
        <f t="shared" si="30"/>
        <v>4.0375061776916779</v>
      </c>
      <c r="BD128" s="24">
        <v>22487</v>
      </c>
      <c r="BE128" s="22">
        <v>5934</v>
      </c>
      <c r="BF128" s="22">
        <f t="shared" si="56"/>
        <v>106.5</v>
      </c>
      <c r="BG128" s="23">
        <v>3.7231253277399054E-2</v>
      </c>
      <c r="BH128" s="23">
        <v>5.9242250287026406E-2</v>
      </c>
      <c r="BI128" s="23">
        <v>6.7097485456933753E-2</v>
      </c>
      <c r="BJ128" s="23">
        <v>5.6992482676022388E-2</v>
      </c>
      <c r="BK128" s="23">
        <v>-0.11707197544607238</v>
      </c>
      <c r="BL128" s="22">
        <v>5721</v>
      </c>
      <c r="BM128" s="22">
        <v>9319</v>
      </c>
      <c r="BN128" s="22">
        <f t="shared" si="57"/>
        <v>270</v>
      </c>
      <c r="BO128" s="22">
        <v>3.9693693117335274</v>
      </c>
      <c r="BP128" s="22">
        <v>0.27910389649285694</v>
      </c>
      <c r="BQ128" s="22">
        <v>1.2748234037997019E-2</v>
      </c>
      <c r="BR128" s="22">
        <v>7.8986378828810877E-3</v>
      </c>
      <c r="BS128" s="22">
        <v>-14701</v>
      </c>
      <c r="BT128" s="22">
        <v>4.1673468775856355</v>
      </c>
      <c r="BU128" s="22">
        <v>0.14676783307542554</v>
      </c>
      <c r="BV128" s="23">
        <v>11808</v>
      </c>
      <c r="BW128" s="22">
        <v>14957</v>
      </c>
      <c r="BX128" s="22">
        <v>56.75</v>
      </c>
      <c r="BY128" s="22">
        <v>1.7539658658651602</v>
      </c>
      <c r="BZ128" s="25">
        <v>0.18599791013584113</v>
      </c>
      <c r="CA128" s="23">
        <v>5.4867350811381188</v>
      </c>
      <c r="CB128" s="23">
        <v>548.67350811381186</v>
      </c>
      <c r="CC128" s="23">
        <v>2.7393139914376685</v>
      </c>
      <c r="CD128" s="23">
        <v>7.1555148383187932</v>
      </c>
      <c r="CE128" s="23">
        <v>4.4032796875923887</v>
      </c>
      <c r="CF128" s="23">
        <v>1.3260210035005835</v>
      </c>
      <c r="CG128" s="23">
        <f t="shared" si="31"/>
        <v>0.28218273138225314</v>
      </c>
      <c r="CH128" s="26">
        <v>23.4</v>
      </c>
      <c r="CI128" s="26">
        <v>17.75</v>
      </c>
      <c r="CJ128" s="26">
        <v>1.3692158574101427</v>
      </c>
      <c r="CK128" s="26">
        <v>1.249198357391113</v>
      </c>
      <c r="CL128" s="26">
        <v>0.31830985915492949</v>
      </c>
      <c r="CM128" s="27">
        <v>25.275999999999993</v>
      </c>
      <c r="CN128" s="27">
        <v>6.7666408261623831E-2</v>
      </c>
      <c r="CO128" s="27">
        <v>14.393934426229498</v>
      </c>
      <c r="CP128" s="27">
        <v>9.2697401180433139E-2</v>
      </c>
      <c r="CQ128" s="27">
        <v>94.493822393822356</v>
      </c>
      <c r="CR128" s="27">
        <v>7.2398848134946573E-3</v>
      </c>
      <c r="CS128" s="27">
        <v>1.0720384615384604</v>
      </c>
      <c r="CT128" s="27">
        <v>1.0575095785440605</v>
      </c>
      <c r="CU128" s="27">
        <v>1.37387720065881E-2</v>
      </c>
      <c r="CV128" s="27">
        <v>1.268846153846154</v>
      </c>
      <c r="CW128" s="27">
        <v>2.1034089675745258</v>
      </c>
      <c r="CX128" s="28">
        <v>0.92</v>
      </c>
      <c r="CY128" s="28">
        <v>0.92</v>
      </c>
      <c r="CZ128" s="29">
        <v>29.99596154</v>
      </c>
      <c r="DA128" s="27">
        <v>0.13600952487112158</v>
      </c>
      <c r="DB128" s="27">
        <v>1.9709466682529033</v>
      </c>
      <c r="DC128" s="27">
        <v>3.3676575479931978</v>
      </c>
      <c r="DD128" s="27">
        <v>1</v>
      </c>
      <c r="DE128" s="27">
        <v>1.9</v>
      </c>
      <c r="DF128" s="27">
        <v>100.9</v>
      </c>
      <c r="DG128" s="28">
        <v>4.6141299273595635</v>
      </c>
      <c r="DH128" s="27">
        <v>1.01092</v>
      </c>
      <c r="DI128" s="27">
        <v>1.7</v>
      </c>
      <c r="DJ128" s="27">
        <v>2.4</v>
      </c>
      <c r="DK128" s="27">
        <v>2.7</v>
      </c>
      <c r="DL128" s="27">
        <v>1.6688062333233E-2</v>
      </c>
      <c r="DM128" s="27">
        <v>0.77139999999999997</v>
      </c>
      <c r="DN128" s="28">
        <v>0.69699999999999995</v>
      </c>
      <c r="DO128" s="28">
        <v>-2.8165086447295033E-2</v>
      </c>
      <c r="DP128" s="28">
        <f>(DM128-DM127)/DM127</f>
        <v>3.2525766296345855E-2</v>
      </c>
      <c r="DQ128" s="27">
        <v>0.10270000000000001</v>
      </c>
      <c r="DR128" s="27">
        <v>2.4180879115385762E-2</v>
      </c>
      <c r="DS128" s="27">
        <v>2.0079372103467861E-2</v>
      </c>
      <c r="DT128" s="27">
        <v>3.4239891893164551E-2</v>
      </c>
      <c r="DU128" s="30">
        <v>8.9420310000000001</v>
      </c>
      <c r="DV128">
        <v>2.2000000000000002</v>
      </c>
      <c r="DW128">
        <v>2.4</v>
      </c>
      <c r="DX128">
        <v>102.1</v>
      </c>
      <c r="DY128">
        <v>102.1</v>
      </c>
      <c r="DZ128">
        <v>0.9</v>
      </c>
      <c r="EA128">
        <v>0.7</v>
      </c>
      <c r="EB128">
        <v>1.494866</v>
      </c>
    </row>
    <row r="129" spans="1:132" ht="18">
      <c r="A129" s="14" t="s">
        <v>157</v>
      </c>
      <c r="B129" s="14">
        <v>11</v>
      </c>
      <c r="C129" s="14" t="s">
        <v>141</v>
      </c>
      <c r="D129" s="14" t="s">
        <v>142</v>
      </c>
      <c r="E129" s="14" t="s">
        <v>145</v>
      </c>
      <c r="F129" s="15">
        <v>10524</v>
      </c>
      <c r="G129" s="15">
        <v>4.0221808394136653</v>
      </c>
      <c r="H129" s="15">
        <v>10524</v>
      </c>
      <c r="I129" s="15">
        <v>0</v>
      </c>
      <c r="J129" s="16">
        <v>0</v>
      </c>
      <c r="K129" s="16">
        <v>0</v>
      </c>
      <c r="L129" s="17">
        <v>0.10482176117292005</v>
      </c>
      <c r="M129" s="18">
        <v>100</v>
      </c>
      <c r="N129" s="18">
        <v>59</v>
      </c>
      <c r="O129" s="18">
        <v>0.95660899653979248</v>
      </c>
      <c r="P129" s="18">
        <v>2</v>
      </c>
      <c r="Q129" s="18">
        <f t="shared" si="55"/>
        <v>2</v>
      </c>
      <c r="R129" s="18">
        <v>100</v>
      </c>
      <c r="S129" s="18">
        <v>5</v>
      </c>
      <c r="T129" s="19">
        <v>26483</v>
      </c>
      <c r="U129" s="19">
        <v>4.4229671805277633</v>
      </c>
      <c r="V129" s="20">
        <v>55709</v>
      </c>
      <c r="W129" s="20">
        <v>4.7459253627606497</v>
      </c>
      <c r="X129" s="20">
        <v>0.49751728079732793</v>
      </c>
      <c r="Y129" s="20">
        <v>0.59811704629999995</v>
      </c>
      <c r="Z129" s="20">
        <f t="shared" si="27"/>
        <v>-0.22321382004478696</v>
      </c>
      <c r="AA129" s="20"/>
      <c r="AB129" s="20"/>
      <c r="AC129" s="20">
        <v>44979</v>
      </c>
      <c r="AD129" s="21">
        <v>6052</v>
      </c>
      <c r="AE129" s="21">
        <f t="shared" si="53"/>
        <v>6.0279484855426849E-2</v>
      </c>
      <c r="AF129" s="21">
        <f t="shared" si="54"/>
        <v>3.781898919351149</v>
      </c>
      <c r="AG129" s="23">
        <v>4.2022330899710157E-2</v>
      </c>
      <c r="AH129" s="22">
        <v>4219</v>
      </c>
      <c r="AI129" s="22">
        <v>1.647148871</v>
      </c>
      <c r="AJ129" s="22">
        <v>111974</v>
      </c>
      <c r="AK129" s="23">
        <f t="shared" si="37"/>
        <v>5.0491171926043688</v>
      </c>
      <c r="AL129" s="24">
        <v>0.75780467600000001</v>
      </c>
      <c r="AM129" s="22">
        <f>29044+13830</f>
        <v>42874</v>
      </c>
      <c r="AN129" s="22">
        <f>AM129/AR129</f>
        <v>0.42703612585782724</v>
      </c>
      <c r="AO129" s="23">
        <v>0.14470483875583026</v>
      </c>
      <c r="AP129" s="33">
        <v>1.6723691999999998E-2</v>
      </c>
      <c r="AQ129" s="23">
        <v>0.22333216055667346</v>
      </c>
      <c r="AR129" s="22">
        <v>100399</v>
      </c>
      <c r="AS129" s="23">
        <v>5.0017293871452084</v>
      </c>
      <c r="AT129" s="23">
        <v>5.0007159953612748</v>
      </c>
      <c r="AU129" s="22">
        <v>0.308</v>
      </c>
      <c r="AV129" s="22">
        <v>0.24510315560000001</v>
      </c>
      <c r="AW129" s="22">
        <v>94.688000000000002</v>
      </c>
      <c r="AX129" s="22">
        <v>76.096999999999994</v>
      </c>
      <c r="AY129" s="22">
        <v>2</v>
      </c>
      <c r="AZ129" s="24">
        <v>34947</v>
      </c>
      <c r="BA129" s="24">
        <f t="shared" si="29"/>
        <v>4.5434098999853729</v>
      </c>
      <c r="BB129" s="24">
        <v>11098</v>
      </c>
      <c r="BC129" s="24">
        <f t="shared" si="30"/>
        <v>4.0452447204781468</v>
      </c>
      <c r="BD129" s="24">
        <v>23849</v>
      </c>
      <c r="BE129" s="22">
        <v>5057</v>
      </c>
      <c r="BF129" s="22">
        <f t="shared" si="56"/>
        <v>438.5</v>
      </c>
      <c r="BG129" s="23">
        <v>-0.14779238287832827</v>
      </c>
      <c r="BH129" s="23">
        <v>5.0369027579955976E-2</v>
      </c>
      <c r="BI129" s="23">
        <v>5.9242250287026406E-2</v>
      </c>
      <c r="BJ129" s="23">
        <v>5.6992482676022388E-2</v>
      </c>
      <c r="BK129" s="23">
        <v>-0.14977862360190591</v>
      </c>
      <c r="BL129" s="22">
        <v>5934</v>
      </c>
      <c r="BM129" s="22">
        <v>8171</v>
      </c>
      <c r="BN129" s="22">
        <f t="shared" si="57"/>
        <v>574</v>
      </c>
      <c r="BO129" s="22">
        <v>3.9122752104988123</v>
      </c>
      <c r="BP129" s="22">
        <v>0.23381119981686554</v>
      </c>
      <c r="BQ129" s="22">
        <v>2.2646348337995701E-2</v>
      </c>
      <c r="BR129" s="22">
        <v>1.2748234037997019E-2</v>
      </c>
      <c r="BS129" s="22">
        <v>-1587</v>
      </c>
      <c r="BT129" s="22">
        <v>3.2005769267548483</v>
      </c>
      <c r="BU129" s="22">
        <v>1.5806930347911832E-2</v>
      </c>
      <c r="BV129" s="23">
        <v>5938</v>
      </c>
      <c r="BW129" s="22">
        <v>14090</v>
      </c>
      <c r="BX129" s="22">
        <v>71.39</v>
      </c>
      <c r="BY129" s="22">
        <v>1.8536373819585943</v>
      </c>
      <c r="BZ129" s="25">
        <v>0.25797356828193835</v>
      </c>
      <c r="CA129" s="23">
        <v>4.4032796875923887</v>
      </c>
      <c r="CB129" s="23">
        <v>440.3279687592389</v>
      </c>
      <c r="CC129" s="23">
        <v>2.6437762718597724</v>
      </c>
      <c r="CD129" s="23">
        <v>5.4867350811381188</v>
      </c>
      <c r="CE129" s="23">
        <v>6.2008976810073415</v>
      </c>
      <c r="CF129" s="23">
        <v>1.3605263157894736</v>
      </c>
      <c r="CG129" s="23">
        <f t="shared" si="31"/>
        <v>0.3078716217879976</v>
      </c>
      <c r="CH129" s="26">
        <v>18.02</v>
      </c>
      <c r="CI129" s="26">
        <v>23.4</v>
      </c>
      <c r="CJ129" s="26">
        <v>1.2557547866430441</v>
      </c>
      <c r="CK129" s="26">
        <v>1.3692158574101427</v>
      </c>
      <c r="CL129" s="26">
        <v>-0.22991452991452987</v>
      </c>
      <c r="CM129" s="27">
        <v>18.608429118773955</v>
      </c>
      <c r="CN129" s="27">
        <v>-0.26379058716672099</v>
      </c>
      <c r="CO129" s="27">
        <v>10.244782608695646</v>
      </c>
      <c r="CP129" s="27">
        <v>-0.28825696259759365</v>
      </c>
      <c r="CQ129" s="27">
        <v>71.254230769230816</v>
      </c>
      <c r="CR129" s="27">
        <v>-0.24593768180670883</v>
      </c>
      <c r="CS129" s="27">
        <v>0.83494252873563157</v>
      </c>
      <c r="CT129" s="27">
        <v>1.0720384615384604</v>
      </c>
      <c r="CU129" s="27">
        <v>-0.22116364413136569</v>
      </c>
      <c r="CV129" s="27">
        <v>0.95088122605364045</v>
      </c>
      <c r="CW129" s="27">
        <v>1.9781262728880398</v>
      </c>
      <c r="CX129" s="28">
        <v>0.54</v>
      </c>
      <c r="CY129" s="28">
        <v>0.92</v>
      </c>
      <c r="CZ129" s="29">
        <v>24.56237548</v>
      </c>
      <c r="DA129" s="27">
        <v>-0.18114392008251654</v>
      </c>
      <c r="DB129" s="27">
        <v>1.7682050254071211</v>
      </c>
      <c r="DC129" s="27">
        <v>1.9709466682529033</v>
      </c>
      <c r="DD129" s="27">
        <v>1</v>
      </c>
      <c r="DE129" s="27">
        <v>2</v>
      </c>
      <c r="DF129" s="27">
        <v>102.2</v>
      </c>
      <c r="DG129" s="28">
        <v>4.6269316777696039</v>
      </c>
      <c r="DH129" s="27">
        <v>1.0259199999999999</v>
      </c>
      <c r="DI129" s="27">
        <v>1.6</v>
      </c>
      <c r="DJ129" s="27">
        <v>1.3</v>
      </c>
      <c r="DK129" s="27">
        <v>1.9</v>
      </c>
      <c r="DL129" s="27">
        <v>1.6829215601661535E-2</v>
      </c>
      <c r="DM129" s="27">
        <v>0.75800000000000001</v>
      </c>
      <c r="DN129" s="28">
        <v>0.74839999999999995</v>
      </c>
      <c r="DO129" s="28">
        <v>7.3744619799139169E-2</v>
      </c>
      <c r="DP129" s="28">
        <f t="shared" si="58"/>
        <v>-1.7371013741249636E-2</v>
      </c>
      <c r="DQ129" s="27">
        <v>8.4699999999999998E-2</v>
      </c>
      <c r="DR129" s="27">
        <v>2.0079372103467861E-2</v>
      </c>
      <c r="DS129" s="27">
        <v>1.50675227484701E-2</v>
      </c>
      <c r="DT129" s="27">
        <v>2.4180879115385762E-2</v>
      </c>
      <c r="DU129" s="30">
        <v>8.0652849999999994</v>
      </c>
      <c r="DV129">
        <v>0.9</v>
      </c>
      <c r="DW129">
        <v>1.4</v>
      </c>
      <c r="DX129">
        <v>103.9</v>
      </c>
      <c r="DY129">
        <v>103.8</v>
      </c>
      <c r="DZ129">
        <v>0.1</v>
      </c>
      <c r="EA129">
        <v>0</v>
      </c>
      <c r="EB129">
        <v>1.826854</v>
      </c>
    </row>
    <row r="130" spans="1:132" ht="18">
      <c r="A130" s="14" t="s">
        <v>157</v>
      </c>
      <c r="B130" s="14">
        <v>12</v>
      </c>
      <c r="C130" s="14" t="s">
        <v>141</v>
      </c>
      <c r="D130" s="14" t="s">
        <v>142</v>
      </c>
      <c r="E130" s="14" t="s">
        <v>145</v>
      </c>
      <c r="F130" s="15">
        <v>7537</v>
      </c>
      <c r="G130" s="15">
        <v>3.8771985152717896</v>
      </c>
      <c r="H130" s="15">
        <v>7537</v>
      </c>
      <c r="I130" s="15">
        <v>0</v>
      </c>
      <c r="J130" s="16">
        <v>0</v>
      </c>
      <c r="K130" s="16">
        <v>0</v>
      </c>
      <c r="L130" s="17">
        <v>7.8465462495445323E-2</v>
      </c>
      <c r="M130" s="18">
        <v>100</v>
      </c>
      <c r="N130" s="18">
        <v>59</v>
      </c>
      <c r="O130" s="18">
        <v>0.95660899653979248</v>
      </c>
      <c r="P130" s="18">
        <v>2</v>
      </c>
      <c r="Q130" s="18">
        <f t="shared" si="55"/>
        <v>2</v>
      </c>
      <c r="R130" s="18">
        <v>100</v>
      </c>
      <c r="S130" s="18">
        <v>5</v>
      </c>
      <c r="T130" s="19">
        <v>24988</v>
      </c>
      <c r="U130" s="19">
        <v>4.397731497273984</v>
      </c>
      <c r="V130" s="20">
        <v>58248</v>
      </c>
      <c r="W130" s="20">
        <v>4.7652810180435408</v>
      </c>
      <c r="X130" s="20">
        <v>0.5194777397260274</v>
      </c>
      <c r="Y130" s="20">
        <v>0.57842767110000004</v>
      </c>
      <c r="Z130" s="20">
        <f t="shared" si="27"/>
        <v>-0.23775093922910925</v>
      </c>
      <c r="AA130" s="20"/>
      <c r="AB130" s="20"/>
      <c r="AC130" s="20">
        <v>39834</v>
      </c>
      <c r="AD130" s="21">
        <v>7080</v>
      </c>
      <c r="AE130" s="21">
        <f t="shared" si="53"/>
        <v>7.3707771589193685E-2</v>
      </c>
      <c r="AF130" s="21">
        <f t="shared" si="54"/>
        <v>3.8500332576897689</v>
      </c>
      <c r="AG130" s="23">
        <v>4.965904950288897E-2</v>
      </c>
      <c r="AH130" s="22">
        <v>4770</v>
      </c>
      <c r="AI130" s="22">
        <v>1.7907527219999999</v>
      </c>
      <c r="AJ130" s="22">
        <v>112128</v>
      </c>
      <c r="AK130" s="23">
        <f t="shared" si="37"/>
        <v>5.0497140758159489</v>
      </c>
      <c r="AL130" s="24">
        <v>0.75833813800000005</v>
      </c>
      <c r="AM130" s="22">
        <f>25093+13928</f>
        <v>39021</v>
      </c>
      <c r="AN130" s="22">
        <f t="shared" ref="AN130" si="59">AM130/AR130</f>
        <v>0.40623601061891623</v>
      </c>
      <c r="AO130" s="23">
        <v>0.11756851081909502</v>
      </c>
      <c r="AP130" s="33">
        <v>7.2558978999999996E-2</v>
      </c>
      <c r="AQ130" s="23">
        <v>0.86069116300207027</v>
      </c>
      <c r="AR130" s="22">
        <v>96055</v>
      </c>
      <c r="AS130" s="23">
        <v>4.9825199763387031</v>
      </c>
      <c r="AT130" s="23">
        <v>5.0017293871452084</v>
      </c>
      <c r="AU130" s="22">
        <v>0.308</v>
      </c>
      <c r="AV130" s="22">
        <v>0.25073203230000002</v>
      </c>
      <c r="AW130" s="22">
        <v>102.13200000000001</v>
      </c>
      <c r="AX130" s="22">
        <v>94.688000000000002</v>
      </c>
      <c r="AY130" s="22">
        <v>3</v>
      </c>
      <c r="AZ130" s="24">
        <v>32951</v>
      </c>
      <c r="BA130" s="24">
        <f t="shared" si="29"/>
        <v>4.5178685991391889</v>
      </c>
      <c r="BB130" s="24">
        <v>10991</v>
      </c>
      <c r="BC130" s="24">
        <f t="shared" si="30"/>
        <v>4.0410372078670287</v>
      </c>
      <c r="BD130" s="24">
        <v>21960</v>
      </c>
      <c r="BE130" s="22">
        <v>3874</v>
      </c>
      <c r="BF130" s="22">
        <f t="shared" si="56"/>
        <v>591.5</v>
      </c>
      <c r="BG130" s="23">
        <v>-0.23393316195372751</v>
      </c>
      <c r="BH130" s="23">
        <v>4.0331060330019257E-2</v>
      </c>
      <c r="BI130" s="23">
        <v>5.0369027579955976E-2</v>
      </c>
      <c r="BJ130" s="23">
        <v>5.6992482676022388E-2</v>
      </c>
      <c r="BK130" s="23">
        <v>-0.19928848604437346</v>
      </c>
      <c r="BL130" s="22">
        <v>5057</v>
      </c>
      <c r="BM130" s="22">
        <v>6954</v>
      </c>
      <c r="BN130" s="22">
        <f t="shared" si="57"/>
        <v>608.5</v>
      </c>
      <c r="BO130" s="22">
        <v>3.8422346863472394</v>
      </c>
      <c r="BP130" s="22">
        <v>0.21104063609602136</v>
      </c>
      <c r="BQ130" s="22">
        <v>1.1385281860422092E-2</v>
      </c>
      <c r="BR130" s="22">
        <v>2.2646348337995701E-2</v>
      </c>
      <c r="BS130" s="22">
        <v>-1273</v>
      </c>
      <c r="BT130" s="22">
        <v>3.1048284036536553</v>
      </c>
      <c r="BU130" s="22">
        <v>1.3252823902972255E-2</v>
      </c>
      <c r="BV130" s="23">
        <v>4999</v>
      </c>
      <c r="BW130" s="22">
        <v>14300</v>
      </c>
      <c r="BX130" s="22">
        <v>77.12</v>
      </c>
      <c r="BY130" s="22">
        <v>1.8871670208947744</v>
      </c>
      <c r="BZ130" s="25">
        <v>8.0263342204790644E-2</v>
      </c>
      <c r="CA130" s="23">
        <v>6.2008976810073415</v>
      </c>
      <c r="CB130" s="23">
        <v>620.0897681007342</v>
      </c>
      <c r="CC130" s="23">
        <v>2.7924545652543009</v>
      </c>
      <c r="CD130" s="23">
        <v>4.4032796875923887</v>
      </c>
      <c r="CE130" s="23">
        <v>3.2328964967901963</v>
      </c>
      <c r="CF130" s="23">
        <v>1.3204369594902141</v>
      </c>
      <c r="CG130" s="23">
        <f t="shared" si="31"/>
        <v>0.27796271173679393</v>
      </c>
      <c r="CH130" s="26">
        <v>13.72</v>
      </c>
      <c r="CI130" s="26">
        <v>18.02</v>
      </c>
      <c r="CJ130" s="26">
        <v>1.1373541113707328</v>
      </c>
      <c r="CK130" s="26">
        <v>1.2557547866430441</v>
      </c>
      <c r="CL130" s="26">
        <v>-0.23862375138734734</v>
      </c>
      <c r="CM130" s="27">
        <v>14.834099616858232</v>
      </c>
      <c r="CN130" s="27">
        <v>-0.20282902322516949</v>
      </c>
      <c r="CO130" s="27">
        <v>8.3248809523809495</v>
      </c>
      <c r="CP130" s="27">
        <v>-0.18740286930882333</v>
      </c>
      <c r="CQ130" s="27">
        <v>73.031538461538446</v>
      </c>
      <c r="CR130" s="27">
        <v>2.494318825872599E-2</v>
      </c>
      <c r="CS130" s="27">
        <v>0.8023754789272034</v>
      </c>
      <c r="CT130" s="27">
        <v>0.83494252873563157</v>
      </c>
      <c r="CU130" s="27">
        <v>-3.9005139500733109E-2</v>
      </c>
      <c r="CV130" s="27">
        <v>0.96896551724137914</v>
      </c>
      <c r="CW130" s="27">
        <v>1.9863083220061237</v>
      </c>
      <c r="CX130" s="28">
        <v>0.62</v>
      </c>
      <c r="CY130" s="28">
        <v>0.54</v>
      </c>
      <c r="CZ130" s="29">
        <v>18.565019159999999</v>
      </c>
      <c r="DA130" s="27">
        <v>-0.24416841623821645</v>
      </c>
      <c r="DB130" s="27">
        <v>1.1698744465812936</v>
      </c>
      <c r="DC130" s="27">
        <v>1.7682050254071211</v>
      </c>
      <c r="DD130" s="27">
        <v>1</v>
      </c>
      <c r="DE130" s="27">
        <v>2</v>
      </c>
      <c r="DF130" s="27">
        <v>103</v>
      </c>
      <c r="DG130" s="28">
        <v>4.6347289882296359</v>
      </c>
      <c r="DH130" s="27">
        <v>1.0334399999999999</v>
      </c>
      <c r="DI130" s="27">
        <v>1.6</v>
      </c>
      <c r="DJ130" s="27">
        <v>1.4</v>
      </c>
      <c r="DK130" s="27">
        <v>1.3</v>
      </c>
      <c r="DL130" s="27">
        <v>1.2152522197973097E-2</v>
      </c>
      <c r="DM130" s="27">
        <v>0.72770000000000001</v>
      </c>
      <c r="DN130" s="28">
        <v>0.77380000000000004</v>
      </c>
      <c r="DO130" s="28">
        <v>3.3939070016034328E-2</v>
      </c>
      <c r="DP130" s="28">
        <f>(DM130-DM129)/DM129</f>
        <v>-3.9973614775725586E-2</v>
      </c>
      <c r="DQ130" s="27">
        <v>5.8499999999999996E-2</v>
      </c>
      <c r="DR130" s="27">
        <v>1.50675227484701E-2</v>
      </c>
      <c r="DS130" s="27">
        <v>3.1335239457349999E-2</v>
      </c>
      <c r="DT130" s="27">
        <v>2.0079372103467861E-2</v>
      </c>
      <c r="DU130" s="30">
        <v>7.3719619999999999</v>
      </c>
      <c r="DV130">
        <v>1.5</v>
      </c>
      <c r="DW130">
        <v>2.1</v>
      </c>
      <c r="DX130">
        <v>105.4</v>
      </c>
      <c r="DY130">
        <v>105.7</v>
      </c>
      <c r="DZ130">
        <v>0.2</v>
      </c>
      <c r="EA130">
        <v>0.8</v>
      </c>
      <c r="EB130">
        <v>1.343728</v>
      </c>
    </row>
    <row r="131" spans="1:132" ht="18">
      <c r="A131" s="14" t="s">
        <v>157</v>
      </c>
      <c r="B131" s="14">
        <v>13</v>
      </c>
      <c r="C131" s="14" t="s">
        <v>141</v>
      </c>
      <c r="D131" s="14" t="s">
        <v>142</v>
      </c>
      <c r="E131" s="14" t="s">
        <v>145</v>
      </c>
      <c r="F131" s="15">
        <v>12673</v>
      </c>
      <c r="G131" s="15">
        <v>4.1028794348693776</v>
      </c>
      <c r="H131" s="15">
        <v>12673</v>
      </c>
      <c r="I131" s="15">
        <v>0</v>
      </c>
      <c r="J131" s="16">
        <v>0</v>
      </c>
      <c r="K131" s="16">
        <v>0</v>
      </c>
      <c r="L131" s="17">
        <v>0.13012362411697059</v>
      </c>
      <c r="M131" s="18">
        <v>100</v>
      </c>
      <c r="N131" s="18">
        <v>59</v>
      </c>
      <c r="O131" s="18">
        <v>0.95660899653979248</v>
      </c>
      <c r="P131" s="18">
        <v>2</v>
      </c>
      <c r="Q131" s="18">
        <f t="shared" si="55"/>
        <v>2</v>
      </c>
      <c r="R131" s="18">
        <v>100</v>
      </c>
      <c r="S131" s="18">
        <v>5</v>
      </c>
      <c r="T131" s="19">
        <v>25762</v>
      </c>
      <c r="U131" s="19">
        <v>4.4109795758945696</v>
      </c>
      <c r="V131" s="20">
        <v>60155</v>
      </c>
      <c r="W131" s="20">
        <v>4.7792717311299304</v>
      </c>
      <c r="X131" s="20">
        <v>0.5300186790723902</v>
      </c>
      <c r="Y131" s="20">
        <v>0.592996988</v>
      </c>
      <c r="Z131" s="20">
        <f t="shared" ref="Z131:Z194" si="60">LOG(Y131)</f>
        <v>-0.22694751253506551</v>
      </c>
      <c r="AA131" s="20"/>
      <c r="AB131" s="20"/>
      <c r="AC131" s="20">
        <v>40950</v>
      </c>
      <c r="AD131" s="21">
        <v>3454</v>
      </c>
      <c r="AE131" s="21">
        <f t="shared" si="53"/>
        <v>3.5464925250533921E-2</v>
      </c>
      <c r="AF131" s="21">
        <f t="shared" si="54"/>
        <v>3.5383223332314402</v>
      </c>
      <c r="AG131" s="23">
        <v>4.9531789058649578E-2</v>
      </c>
      <c r="AH131" s="22">
        <v>4824</v>
      </c>
      <c r="AI131" s="22">
        <v>1.7736546529999999</v>
      </c>
      <c r="AJ131" s="23">
        <v>113496</v>
      </c>
      <c r="AK131" s="23">
        <f t="shared" si="37"/>
        <v>5.054980555727032</v>
      </c>
      <c r="AL131" s="24">
        <v>0.76286644999999997</v>
      </c>
      <c r="AM131" s="22">
        <f>28092+13032</f>
        <v>41124</v>
      </c>
      <c r="AN131" s="22">
        <f>AM131/AR131</f>
        <v>0.42225234105470677</v>
      </c>
      <c r="AO131" s="23">
        <v>0.13352087651761918</v>
      </c>
      <c r="AP131" s="33">
        <v>7.1126720000000004E-2</v>
      </c>
      <c r="AQ131" s="23">
        <v>0.8520327817226625</v>
      </c>
      <c r="AR131" s="23">
        <v>97392</v>
      </c>
      <c r="AS131" s="23">
        <v>4.9885232844089336</v>
      </c>
      <c r="AT131" s="23">
        <v>4.9825199763387031</v>
      </c>
      <c r="AU131" s="22">
        <v>0.32800000000000001</v>
      </c>
      <c r="AV131" s="22">
        <v>0.25803298499999999</v>
      </c>
      <c r="AW131" s="22">
        <v>99.8</v>
      </c>
      <c r="AX131" s="22">
        <v>102.13200000000001</v>
      </c>
      <c r="AY131" s="22">
        <v>2</v>
      </c>
      <c r="AZ131" s="24">
        <v>33770</v>
      </c>
      <c r="BA131" s="24">
        <f t="shared" ref="BA131:BA194" si="61">LOG(AZ131)</f>
        <v>4.5285310606354114</v>
      </c>
      <c r="BB131" s="24">
        <v>11029</v>
      </c>
      <c r="BC131" s="24">
        <f t="shared" ref="BC131:BC194" si="62">LOG(BB131)</f>
        <v>4.0425361367221431</v>
      </c>
      <c r="BD131" s="24">
        <v>22741</v>
      </c>
      <c r="BE131" s="23">
        <v>4509</v>
      </c>
      <c r="BF131" s="22">
        <f t="shared" si="56"/>
        <v>317.5</v>
      </c>
      <c r="BG131" s="23">
        <v>0.16391326794011357</v>
      </c>
      <c r="BH131" s="23">
        <v>4.6297437161163135E-2</v>
      </c>
      <c r="BI131" s="23">
        <v>4.0331060330019257E-2</v>
      </c>
      <c r="BJ131" s="23">
        <v>5.6992482676022388E-2</v>
      </c>
      <c r="BK131" s="23">
        <v>0.14793503523890689</v>
      </c>
      <c r="BL131" s="22">
        <v>3874</v>
      </c>
      <c r="BM131" s="22">
        <v>7690</v>
      </c>
      <c r="BN131" s="22">
        <f>STDEVP(BM130:BM131)</f>
        <v>368</v>
      </c>
      <c r="BO131" s="22">
        <v>3.885926339801431</v>
      </c>
      <c r="BP131" s="22">
        <v>0.22771690849866746</v>
      </c>
      <c r="BQ131" s="22">
        <v>8.3381362013230514E-3</v>
      </c>
      <c r="BR131" s="22">
        <v>1.1385281860422092E-2</v>
      </c>
      <c r="BS131" s="22">
        <v>-3460</v>
      </c>
      <c r="BT131" s="22">
        <v>3.5390760987927767</v>
      </c>
      <c r="BU131" s="22">
        <v>3.5526531953343189E-2</v>
      </c>
      <c r="BV131" s="23">
        <v>8640</v>
      </c>
      <c r="BW131" s="22">
        <v>14519</v>
      </c>
      <c r="BX131" s="22">
        <v>75.66</v>
      </c>
      <c r="BY131" s="22">
        <v>1.8788663369567253</v>
      </c>
      <c r="BZ131" s="25">
        <v>-1.8931535269709646E-2</v>
      </c>
      <c r="CA131" s="23">
        <v>3.2328964967901963</v>
      </c>
      <c r="CB131" s="23">
        <v>323.28964967901965</v>
      </c>
      <c r="CC131" s="23">
        <v>2.5095918006237943</v>
      </c>
      <c r="CD131" s="23">
        <v>6.2008976810073415</v>
      </c>
      <c r="CE131" s="23">
        <v>4.1302630899999997</v>
      </c>
      <c r="CF131" s="23">
        <v>1.317176746229316</v>
      </c>
      <c r="CG131" s="23">
        <f t="shared" ref="CG131:CG194" si="63">LN(CF131)</f>
        <v>0.27549061742354414</v>
      </c>
      <c r="CH131" s="26">
        <v>19.2</v>
      </c>
      <c r="CI131" s="26">
        <v>13.72</v>
      </c>
      <c r="CJ131" s="26">
        <v>1.2833012287035497</v>
      </c>
      <c r="CK131" s="26">
        <v>1.1373541113707328</v>
      </c>
      <c r="CL131" s="26">
        <v>0.39941690962099113</v>
      </c>
      <c r="CM131" s="27">
        <v>14.883180076628348</v>
      </c>
      <c r="CN131" s="27">
        <v>3.3086241186042575E-3</v>
      </c>
      <c r="CO131" s="27">
        <v>6.9159523809523806</v>
      </c>
      <c r="CP131" s="27">
        <v>-0.16924308941926786</v>
      </c>
      <c r="CQ131" s="27">
        <v>64.583076923076902</v>
      </c>
      <c r="CR131" s="27">
        <v>-0.11568237115682381</v>
      </c>
      <c r="CS131" s="27">
        <v>0.66574712643678124</v>
      </c>
      <c r="CT131" s="27">
        <v>0.8023754789272034</v>
      </c>
      <c r="CU131" s="27">
        <v>-0.1702798204564997</v>
      </c>
      <c r="CV131" s="27">
        <v>0.67685823754789287</v>
      </c>
      <c r="CW131" s="27">
        <v>1.8304977187626064</v>
      </c>
      <c r="CX131" s="28">
        <v>1.33</v>
      </c>
      <c r="CY131" s="28">
        <v>0.62</v>
      </c>
      <c r="CZ131" s="29">
        <v>18.278045980000002</v>
      </c>
      <c r="DA131" s="27">
        <v>-1.5457736807420394E-2</v>
      </c>
      <c r="DC131" s="27">
        <v>1.1698744465812936</v>
      </c>
      <c r="DD131" s="27">
        <v>1</v>
      </c>
      <c r="DE131" s="27">
        <v>1.5</v>
      </c>
      <c r="DF131" s="27">
        <v>104</v>
      </c>
      <c r="DG131" s="28">
        <v>4.6443908991413725</v>
      </c>
      <c r="DH131" s="27">
        <v>1.0435000000000001</v>
      </c>
      <c r="DI131" s="27">
        <v>1.6</v>
      </c>
      <c r="DJ131" s="27">
        <v>0.7</v>
      </c>
      <c r="DK131" s="27">
        <v>1</v>
      </c>
      <c r="DL131" s="27">
        <v>1.7108786898118553E-2</v>
      </c>
      <c r="DM131" s="27">
        <v>0.8266</v>
      </c>
      <c r="DN131" s="28">
        <v>0.75860000000000005</v>
      </c>
      <c r="DO131" s="28">
        <v>-1.9643318686999211E-2</v>
      </c>
      <c r="DP131" s="28">
        <f t="shared" si="58"/>
        <v>0.13590765425312626</v>
      </c>
      <c r="DQ131" s="27">
        <v>0.10860000000000003</v>
      </c>
      <c r="DR131" s="27">
        <v>3.1335239457349999E-2</v>
      </c>
      <c r="DS131" s="27">
        <v>2.7611694356583942E-2</v>
      </c>
      <c r="DT131" s="27">
        <v>1.50675227484701E-2</v>
      </c>
      <c r="DU131" s="30">
        <v>6.1553740000000001</v>
      </c>
      <c r="DV131">
        <v>1.6</v>
      </c>
      <c r="DW131">
        <v>2.2999999999999998</v>
      </c>
      <c r="DX131">
        <v>107</v>
      </c>
      <c r="DY131">
        <v>107.5</v>
      </c>
      <c r="DZ131">
        <v>0.4</v>
      </c>
      <c r="EA131">
        <v>1.1000000000000001</v>
      </c>
      <c r="EB131">
        <v>1.4054869999999999</v>
      </c>
    </row>
    <row r="132" spans="1:132" ht="18">
      <c r="A132" s="14" t="s">
        <v>158</v>
      </c>
      <c r="B132" s="14">
        <v>1</v>
      </c>
      <c r="C132" s="14" t="s">
        <v>150</v>
      </c>
      <c r="D132" s="14" t="s">
        <v>159</v>
      </c>
      <c r="E132" s="14" t="s">
        <v>160</v>
      </c>
      <c r="F132" s="15">
        <v>7726.36</v>
      </c>
      <c r="G132" s="15">
        <v>3.8879749396839056</v>
      </c>
      <c r="H132" s="15">
        <v>1249.9000000000001</v>
      </c>
      <c r="I132" s="15">
        <v>0</v>
      </c>
      <c r="J132" s="16">
        <v>6476.46</v>
      </c>
      <c r="K132" s="16">
        <v>1</v>
      </c>
      <c r="L132" s="17">
        <v>0.20332526315789473</v>
      </c>
      <c r="M132" s="18">
        <v>40</v>
      </c>
      <c r="N132" s="18">
        <v>32</v>
      </c>
      <c r="O132" s="18">
        <v>0.83103205610424913</v>
      </c>
      <c r="P132" s="18">
        <v>1</v>
      </c>
      <c r="Q132" s="18">
        <v>1</v>
      </c>
      <c r="R132" s="18">
        <v>40</v>
      </c>
      <c r="S132" s="18">
        <v>4</v>
      </c>
      <c r="T132" s="19">
        <v>9345</v>
      </c>
      <c r="U132" s="19">
        <v>3.9705793057148511</v>
      </c>
      <c r="V132" s="20">
        <v>13600</v>
      </c>
      <c r="W132" s="20">
        <v>4.1335389083702179</v>
      </c>
      <c r="X132" s="20">
        <v>0.41715232194343904</v>
      </c>
      <c r="Y132" s="20"/>
      <c r="Z132" s="20"/>
      <c r="AA132" s="20">
        <v>0.63494369780000004</v>
      </c>
      <c r="AB132" s="20"/>
      <c r="AD132" s="21">
        <v>4978.5</v>
      </c>
      <c r="AE132" s="21">
        <f t="shared" si="53"/>
        <v>0.13101315789473683</v>
      </c>
      <c r="AF132" s="21">
        <f t="shared" si="54"/>
        <v>3.6970985114642851</v>
      </c>
      <c r="AG132" s="22">
        <v>3.4473684210526317E-3</v>
      </c>
      <c r="AH132" s="22">
        <v>131</v>
      </c>
      <c r="AI132" s="22">
        <v>1.132268512</v>
      </c>
      <c r="AJ132" s="22">
        <v>32602</v>
      </c>
      <c r="AK132" s="23">
        <f t="shared" si="37"/>
        <v>4.5132442430839221</v>
      </c>
      <c r="AL132" s="24">
        <v>0.262832232</v>
      </c>
      <c r="AM132" s="22">
        <f>9387+8935</f>
        <v>18322</v>
      </c>
      <c r="AN132" s="22">
        <f t="shared" ref="AN132:AN167" si="64">AM132/AR132</f>
        <v>0.48215789473684212</v>
      </c>
      <c r="AO132" s="23">
        <v>5.490085782590353E-2</v>
      </c>
      <c r="AP132" s="23">
        <v>1.5490381306128126E-2</v>
      </c>
      <c r="AQ132" s="23">
        <v>0.19006210834081844</v>
      </c>
      <c r="AR132" s="23">
        <v>38000</v>
      </c>
      <c r="AS132" s="23">
        <v>4.5797835966168101</v>
      </c>
      <c r="AT132" s="23">
        <f>LOG(51439)</f>
        <v>4.7112925170953392</v>
      </c>
      <c r="AU132" s="22">
        <v>1.109</v>
      </c>
      <c r="AV132" s="22">
        <v>0.90328279109999998</v>
      </c>
      <c r="AW132" s="22">
        <v>15.382999999999999</v>
      </c>
      <c r="AX132" s="22"/>
      <c r="AY132" s="22">
        <v>1</v>
      </c>
      <c r="AZ132" s="24">
        <v>35555</v>
      </c>
      <c r="BA132" s="24">
        <f t="shared" si="61"/>
        <v>4.5509006829762866</v>
      </c>
      <c r="BB132" s="24">
        <v>24198</v>
      </c>
      <c r="BC132" s="24">
        <f t="shared" si="62"/>
        <v>4.3837794723912626</v>
      </c>
      <c r="BD132" s="24">
        <v>11357</v>
      </c>
      <c r="BE132" s="22">
        <v>1952</v>
      </c>
      <c r="BF132" s="22"/>
      <c r="BH132" s="23">
        <v>5.1368421052631577E-2</v>
      </c>
      <c r="BI132" s="23">
        <v>1.9926514901145047E-2</v>
      </c>
      <c r="BJ132" s="23">
        <v>1.9715611283822036E-2</v>
      </c>
      <c r="BK132" s="23">
        <v>1.5778928883183567</v>
      </c>
      <c r="BL132" s="22">
        <v>1025</v>
      </c>
      <c r="BM132" s="22">
        <v>4470</v>
      </c>
      <c r="BN132" s="22"/>
      <c r="BO132" s="22">
        <v>3.6503075231319366</v>
      </c>
      <c r="BP132" s="22">
        <v>0.12572071438616228</v>
      </c>
      <c r="BQ132" s="22">
        <v>1.1871562838505489E-3</v>
      </c>
      <c r="BR132" s="22"/>
      <c r="BS132" s="22">
        <v>-195</v>
      </c>
      <c r="BT132" s="22">
        <v>2.2900346113625178</v>
      </c>
      <c r="BU132" s="22">
        <v>5.131578947368421E-3</v>
      </c>
      <c r="BV132" s="23">
        <v>4553</v>
      </c>
      <c r="BW132" s="22">
        <v>12272</v>
      </c>
      <c r="BX132" s="22">
        <v>7.27</v>
      </c>
      <c r="BY132" s="22">
        <v>0.86153441085903781</v>
      </c>
      <c r="BZ132" s="25">
        <v>-6.1935483870967797E-2</v>
      </c>
      <c r="CA132" s="23">
        <v>0.54704599928878084</v>
      </c>
      <c r="CB132" s="23">
        <v>54.704599928878082</v>
      </c>
      <c r="CC132" s="23">
        <v>1.7380238462554702</v>
      </c>
      <c r="CD132" s="23">
        <v>0.24684459</v>
      </c>
      <c r="CE132" s="23">
        <v>0.25781599843701042</v>
      </c>
      <c r="CF132" s="23">
        <v>1.6139240506329113</v>
      </c>
      <c r="CG132" s="23">
        <f t="shared" si="63"/>
        <v>0.47866851213145933</v>
      </c>
      <c r="CH132" s="26">
        <v>28.62</v>
      </c>
      <c r="CI132" s="26">
        <v>23.8</v>
      </c>
      <c r="CJ132" s="26">
        <v>1.4566696294237576</v>
      </c>
      <c r="CK132" s="26">
        <v>1.3765769570565121</v>
      </c>
      <c r="CL132" s="26">
        <v>0.20252100840336135</v>
      </c>
      <c r="CM132" s="27">
        <v>28.164291187739472</v>
      </c>
      <c r="CN132" s="27">
        <v>5.6821432935815153E-2</v>
      </c>
      <c r="CQ132" s="27">
        <v>125.09884615384618</v>
      </c>
      <c r="CR132" s="27">
        <v>0.13726223776223803</v>
      </c>
      <c r="CS132" s="27">
        <v>0.92386973180076593</v>
      </c>
      <c r="CT132" s="27">
        <v>1.0645593900000001</v>
      </c>
      <c r="CU132" s="27">
        <v>-0.12842478132003218</v>
      </c>
      <c r="CX132" s="28">
        <v>0.76</v>
      </c>
      <c r="CY132" s="28">
        <v>0.82</v>
      </c>
      <c r="CZ132" s="29">
        <v>37.275402300000003</v>
      </c>
      <c r="DA132" s="27">
        <v>0.32652677224199295</v>
      </c>
      <c r="DB132" s="27">
        <v>2.5105365885464708</v>
      </c>
      <c r="DC132" s="27">
        <v>1.25643310503606</v>
      </c>
      <c r="DD132" s="27">
        <v>3</v>
      </c>
      <c r="DE132" s="28">
        <v>1.64</v>
      </c>
      <c r="DF132" s="28">
        <v>80.686753999999993</v>
      </c>
      <c r="DG132" s="28">
        <v>4.3905744230180321</v>
      </c>
      <c r="DH132" s="28">
        <v>0.84185200000000004</v>
      </c>
      <c r="DI132" s="28">
        <v>0.68335000000000001</v>
      </c>
      <c r="DJ132" s="27">
        <v>0.8</v>
      </c>
      <c r="DK132" s="27">
        <v>2.2999999999999998</v>
      </c>
      <c r="DL132" s="27">
        <v>1.1731637610823707E-2</v>
      </c>
      <c r="DM132" s="27">
        <v>0.95289999999999997</v>
      </c>
      <c r="DN132" s="28">
        <v>1.1605000000000001</v>
      </c>
      <c r="DO132" s="28">
        <v>9.3264248704663183E-2</v>
      </c>
      <c r="DP132" s="28">
        <f>(DM132-1.1242)/1.1242</f>
        <v>-0.15237502223803603</v>
      </c>
      <c r="DQ132" s="27">
        <v>0.20879999999999999</v>
      </c>
      <c r="DR132" s="27">
        <v>6.0688564775993471E-2</v>
      </c>
      <c r="DS132" s="27">
        <v>3.9305854754660308E-2</v>
      </c>
      <c r="DT132" s="27">
        <v>3.268886E-2</v>
      </c>
      <c r="DU132" s="30">
        <v>5.7817160000000003</v>
      </c>
      <c r="DV132">
        <v>0.9</v>
      </c>
      <c r="DW132">
        <v>2.8</v>
      </c>
      <c r="DX132">
        <v>84</v>
      </c>
      <c r="DY132">
        <v>80.900000000000006</v>
      </c>
      <c r="DZ132">
        <v>2.2000000000000002</v>
      </c>
      <c r="EA132">
        <v>3</v>
      </c>
      <c r="EB132">
        <v>1.701892</v>
      </c>
    </row>
    <row r="133" spans="1:132" ht="18">
      <c r="A133" s="14" t="s">
        <v>158</v>
      </c>
      <c r="B133" s="14">
        <v>2</v>
      </c>
      <c r="C133" s="14" t="s">
        <v>150</v>
      </c>
      <c r="D133" s="14" t="s">
        <v>159</v>
      </c>
      <c r="E133" s="14" t="s">
        <v>160</v>
      </c>
      <c r="F133" s="15">
        <v>5495.47</v>
      </c>
      <c r="G133" s="15">
        <v>3.7400048413778229</v>
      </c>
      <c r="H133" s="15">
        <v>1838.22</v>
      </c>
      <c r="I133" s="15">
        <v>0</v>
      </c>
      <c r="J133" s="16">
        <v>3657.25</v>
      </c>
      <c r="K133" s="16">
        <v>1</v>
      </c>
      <c r="L133" s="17">
        <v>0.14449215155259906</v>
      </c>
      <c r="M133" s="18">
        <v>40</v>
      </c>
      <c r="N133" s="18">
        <v>32</v>
      </c>
      <c r="O133" s="18">
        <v>0.83103205610424913</v>
      </c>
      <c r="P133" s="18">
        <v>1</v>
      </c>
      <c r="Q133" s="18">
        <v>1</v>
      </c>
      <c r="R133" s="18">
        <v>40</v>
      </c>
      <c r="S133" s="18">
        <v>4</v>
      </c>
      <c r="T133" s="19">
        <v>10081</v>
      </c>
      <c r="U133" s="19">
        <v>4.0035036147425362</v>
      </c>
      <c r="V133" s="20">
        <v>14459</v>
      </c>
      <c r="W133" s="20">
        <v>4.1601382577234016</v>
      </c>
      <c r="X133" s="20">
        <v>0.47183788017230127</v>
      </c>
      <c r="Y133" s="20">
        <v>0.58152131039999999</v>
      </c>
      <c r="Z133" s="20">
        <f t="shared" si="60"/>
        <v>-0.23543436551068989</v>
      </c>
      <c r="AA133" s="20">
        <v>0.65682465680000002</v>
      </c>
      <c r="AB133" s="20"/>
      <c r="AD133" s="21">
        <v>7512</v>
      </c>
      <c r="AE133" s="21">
        <f t="shared" si="53"/>
        <v>0.19751268635132649</v>
      </c>
      <c r="AF133" s="21">
        <f t="shared" si="54"/>
        <v>3.8757555792580547</v>
      </c>
      <c r="AG133" s="22">
        <v>1.4986984986722057E-3</v>
      </c>
      <c r="AH133" s="23">
        <v>57</v>
      </c>
      <c r="AI133" s="22">
        <v>1.3846097420000001</v>
      </c>
      <c r="AJ133" s="22">
        <v>30644</v>
      </c>
      <c r="AK133" s="23">
        <f t="shared" si="37"/>
        <v>4.4863454536676377</v>
      </c>
      <c r="AL133" s="24">
        <v>0.279492085</v>
      </c>
      <c r="AM133" s="22">
        <f>7685+10185</f>
        <v>17870</v>
      </c>
      <c r="AN133" s="22">
        <f t="shared" si="64"/>
        <v>0.469855125811795</v>
      </c>
      <c r="AO133" s="23">
        <v>5.6003770550888572E-2</v>
      </c>
      <c r="AP133" s="33">
        <v>2.4508009999999998E-3</v>
      </c>
      <c r="AQ133" s="23">
        <v>-0.61069195113492891</v>
      </c>
      <c r="AR133" s="22">
        <v>38033</v>
      </c>
      <c r="AS133" s="23">
        <v>4.5801605834199801</v>
      </c>
      <c r="AT133" s="23">
        <v>4.5797835966168101</v>
      </c>
      <c r="AU133" s="22">
        <v>1.216</v>
      </c>
      <c r="AV133" s="22">
        <v>0.79394072770000002</v>
      </c>
      <c r="AW133" s="22">
        <v>18.875</v>
      </c>
      <c r="AX133" s="22">
        <v>15.382999999999999</v>
      </c>
      <c r="AY133" s="22">
        <v>1</v>
      </c>
      <c r="AZ133" s="24">
        <v>36069</v>
      </c>
      <c r="BA133" s="24">
        <f t="shared" si="61"/>
        <v>4.5571341018275904</v>
      </c>
      <c r="BB133" s="24">
        <v>24314</v>
      </c>
      <c r="BC133" s="24">
        <f t="shared" si="62"/>
        <v>4.3858564123614148</v>
      </c>
      <c r="BD133" s="24">
        <v>11755</v>
      </c>
      <c r="BE133" s="22">
        <v>2020</v>
      </c>
      <c r="BF133" s="22">
        <f>STDEVP(BE132:BE133)</f>
        <v>34</v>
      </c>
      <c r="BG133" s="23">
        <v>3.4836065573770489E-2</v>
      </c>
      <c r="BH133" s="23">
        <v>5.3111771356453605E-2</v>
      </c>
      <c r="BI133" s="23">
        <v>5.1368421052631577E-2</v>
      </c>
      <c r="BJ133" s="23">
        <v>1.9715611283822036E-2</v>
      </c>
      <c r="BK133" s="23">
        <v>3.3938171898174718E-2</v>
      </c>
      <c r="BL133" s="22">
        <v>1952</v>
      </c>
      <c r="BM133" s="22">
        <v>5373</v>
      </c>
      <c r="BN133" s="22">
        <f>STDEVP(BM132:BM133)</f>
        <v>451.5</v>
      </c>
      <c r="BO133" s="22">
        <v>3.7302168405686942</v>
      </c>
      <c r="BP133" s="22">
        <v>0.14896448473758631</v>
      </c>
      <c r="BQ133" s="22">
        <v>1.1621885175712013E-2</v>
      </c>
      <c r="BR133" s="22">
        <v>1.1871562838505489E-3</v>
      </c>
      <c r="BS133" s="22">
        <v>-3633</v>
      </c>
      <c r="BT133" s="22">
        <v>3.5602653978627146</v>
      </c>
      <c r="BU133" s="22">
        <v>9.5522309573265324E-2</v>
      </c>
      <c r="BV133" s="23">
        <v>5321</v>
      </c>
      <c r="BW133" s="23">
        <v>10823</v>
      </c>
      <c r="BX133" s="22">
        <v>9.14</v>
      </c>
      <c r="BY133" s="22">
        <v>0.96094619573383144</v>
      </c>
      <c r="BZ133" s="25">
        <v>0.25722145804676771</v>
      </c>
      <c r="CA133" s="23">
        <v>0.25781599843701042</v>
      </c>
      <c r="CB133" s="23">
        <v>25.781599843701041</v>
      </c>
      <c r="CC133" s="23">
        <v>1.4113098634337251</v>
      </c>
      <c r="CD133" s="23">
        <v>0.54704599928878084</v>
      </c>
      <c r="CE133" s="23">
        <v>0.12277238883561896</v>
      </c>
      <c r="CF133" s="23">
        <v>1.3464052287581698</v>
      </c>
      <c r="CG133" s="23">
        <f t="shared" si="63"/>
        <v>0.29743824739714553</v>
      </c>
      <c r="CH133" s="26">
        <v>18.309999999999999</v>
      </c>
      <c r="CI133" s="26">
        <v>28.62</v>
      </c>
      <c r="CJ133" s="26">
        <v>1.2626883443016965</v>
      </c>
      <c r="CK133" s="26">
        <v>1.4566696294237576</v>
      </c>
      <c r="CL133" s="26">
        <v>-0.36023759608665273</v>
      </c>
      <c r="CM133" s="27">
        <v>22.615402298850572</v>
      </c>
      <c r="CN133" s="27">
        <v>-0.19701858825065877</v>
      </c>
      <c r="CQ133" s="27">
        <v>115.89653846153851</v>
      </c>
      <c r="CR133" s="27">
        <v>-7.3560292322686169E-2</v>
      </c>
      <c r="CS133" s="27">
        <v>0.92888888888888932</v>
      </c>
      <c r="CT133" s="27">
        <v>0.92386973180076604</v>
      </c>
      <c r="CU133" s="27">
        <v>5.4327541160378483E-3</v>
      </c>
      <c r="CX133" s="28">
        <v>0.66</v>
      </c>
      <c r="CY133" s="28">
        <v>0.76</v>
      </c>
      <c r="CZ133" s="29">
        <v>31.998965519999999</v>
      </c>
      <c r="DA133" s="27">
        <v>-0.14155277889515908</v>
      </c>
      <c r="DB133" s="27">
        <v>2.6347679627304119</v>
      </c>
      <c r="DC133" s="27">
        <v>2.5105365885464708</v>
      </c>
      <c r="DD133" s="27">
        <v>3</v>
      </c>
      <c r="DE133" s="28">
        <v>1.79</v>
      </c>
      <c r="DF133" s="28">
        <v>83.848803000000004</v>
      </c>
      <c r="DG133" s="28">
        <v>4.4290152126753721</v>
      </c>
      <c r="DH133" s="28">
        <v>0.86682099999999995</v>
      </c>
      <c r="DI133" s="28">
        <v>0.72107600000000005</v>
      </c>
      <c r="DJ133" s="27">
        <v>0.2</v>
      </c>
      <c r="DK133" s="27">
        <v>2</v>
      </c>
      <c r="DL133" s="27">
        <v>1.6216043547496031E-2</v>
      </c>
      <c r="DM133" s="27">
        <v>0.79400000000000004</v>
      </c>
      <c r="DN133" s="28">
        <v>1.1231</v>
      </c>
      <c r="DO133" s="28">
        <v>-3.2227488151658851E-2</v>
      </c>
      <c r="DP133" s="28">
        <f>(DM133-DM132)/DM132</f>
        <v>-0.16675411900514214</v>
      </c>
      <c r="DQ133" s="27">
        <v>0.17130000000000001</v>
      </c>
      <c r="DR133" s="27">
        <v>3.9305854754660308E-2</v>
      </c>
      <c r="DS133" s="27">
        <v>2.6867542601332471E-2</v>
      </c>
      <c r="DT133" s="27">
        <v>6.0688564775993471E-2</v>
      </c>
      <c r="DU133" s="30">
        <v>5.9865389999999996</v>
      </c>
      <c r="DV133">
        <v>0.9</v>
      </c>
      <c r="DW133">
        <v>2.8</v>
      </c>
      <c r="DX133">
        <v>85.7</v>
      </c>
      <c r="DY133">
        <v>82.9</v>
      </c>
      <c r="DZ133">
        <v>2.4</v>
      </c>
      <c r="EA133">
        <v>2</v>
      </c>
      <c r="EB133">
        <v>1.4781599999999999</v>
      </c>
    </row>
    <row r="134" spans="1:132" ht="18">
      <c r="A134" s="14" t="s">
        <v>158</v>
      </c>
      <c r="B134" s="14">
        <v>3</v>
      </c>
      <c r="C134" s="14" t="s">
        <v>150</v>
      </c>
      <c r="D134" s="14" t="s">
        <v>159</v>
      </c>
      <c r="E134" s="14" t="s">
        <v>160</v>
      </c>
      <c r="F134" s="15">
        <v>5226.53</v>
      </c>
      <c r="G134" s="15">
        <v>3.7182134475659012</v>
      </c>
      <c r="H134" s="15">
        <v>2224.71</v>
      </c>
      <c r="I134" s="15">
        <v>0</v>
      </c>
      <c r="J134" s="16">
        <v>3001.82</v>
      </c>
      <c r="K134" s="16">
        <v>1</v>
      </c>
      <c r="L134" s="17">
        <v>0.13420974244408493</v>
      </c>
      <c r="M134" s="18">
        <v>40</v>
      </c>
      <c r="N134" s="18">
        <v>32</v>
      </c>
      <c r="O134" s="18">
        <v>0.83103205610424913</v>
      </c>
      <c r="P134" s="18">
        <v>1</v>
      </c>
      <c r="Q134" s="18">
        <v>1</v>
      </c>
      <c r="R134" s="18">
        <v>40</v>
      </c>
      <c r="S134" s="18">
        <v>4</v>
      </c>
      <c r="T134" s="19">
        <v>11497</v>
      </c>
      <c r="U134" s="19">
        <v>4.0605845313608651</v>
      </c>
      <c r="V134" s="20">
        <v>14798</v>
      </c>
      <c r="W134" s="20">
        <v>4.1702030229856639</v>
      </c>
      <c r="X134" s="20">
        <v>0.45706696318260442</v>
      </c>
      <c r="Y134" s="20">
        <v>0.56266851549999997</v>
      </c>
      <c r="Z134" s="20">
        <f t="shared" si="60"/>
        <v>-0.24974738540965513</v>
      </c>
      <c r="AA134" s="20">
        <v>0.6057082452</v>
      </c>
      <c r="AB134" s="20"/>
      <c r="AD134" s="21">
        <v>7380</v>
      </c>
      <c r="AE134" s="21">
        <f t="shared" si="53"/>
        <v>0.18950774208458515</v>
      </c>
      <c r="AF134" s="21">
        <f t="shared" si="54"/>
        <v>3.8680563618230415</v>
      </c>
      <c r="AG134" s="22">
        <v>1.6177490177952392E-3</v>
      </c>
      <c r="AH134" s="23">
        <v>63</v>
      </c>
      <c r="AI134" s="22">
        <v>1.7681027970000001</v>
      </c>
      <c r="AJ134" s="22">
        <v>32376</v>
      </c>
      <c r="AK134" s="23">
        <f t="shared" si="37"/>
        <v>4.5102231913835107</v>
      </c>
      <c r="AL134" s="24">
        <v>0.28328200100000001</v>
      </c>
      <c r="AM134" s="22">
        <f>7785+9398</f>
        <v>17183</v>
      </c>
      <c r="AN134" s="22">
        <f t="shared" si="64"/>
        <v>0.44123462496469201</v>
      </c>
      <c r="AO134" s="23">
        <v>4.8047308118763087E-2</v>
      </c>
      <c r="AP134" s="33">
        <v>6.11234E-3</v>
      </c>
      <c r="AQ134" s="23">
        <v>-0.21379249605262821</v>
      </c>
      <c r="AR134" s="22">
        <v>38943</v>
      </c>
      <c r="AS134" s="23">
        <v>4.5904294046380487</v>
      </c>
      <c r="AT134" s="23">
        <v>4.5801605834199801</v>
      </c>
      <c r="AU134" s="22">
        <v>1.2110000000000001</v>
      </c>
      <c r="AV134" s="22">
        <v>0.71398337109999999</v>
      </c>
      <c r="AW134" s="22">
        <v>23.391999999999999</v>
      </c>
      <c r="AX134" s="22">
        <v>18.875</v>
      </c>
      <c r="AY134" s="22">
        <v>1</v>
      </c>
      <c r="AZ134" s="24">
        <v>40585</v>
      </c>
      <c r="BA134" s="24">
        <f t="shared" si="61"/>
        <v>4.608365550303124</v>
      </c>
      <c r="BB134" s="24">
        <v>27232</v>
      </c>
      <c r="BC134" s="24">
        <f t="shared" si="62"/>
        <v>4.4350795384044934</v>
      </c>
      <c r="BD134" s="24">
        <v>13353</v>
      </c>
      <c r="BE134" s="22">
        <v>1950</v>
      </c>
      <c r="BF134" s="22">
        <f t="shared" ref="BF134:BF144" si="65">STDEVP(BE133:BE134)</f>
        <v>35</v>
      </c>
      <c r="BG134" s="23">
        <v>-3.4653465346534656E-2</v>
      </c>
      <c r="BH134" s="23">
        <v>5.0073183884138353E-2</v>
      </c>
      <c r="BI134" s="23">
        <v>5.3111771356453605E-2</v>
      </c>
      <c r="BJ134" s="23">
        <v>1.9715611283822036E-2</v>
      </c>
      <c r="BK134" s="23">
        <v>-5.7211186799290083E-2</v>
      </c>
      <c r="BL134" s="22">
        <v>2020</v>
      </c>
      <c r="BM134" s="22">
        <v>4314</v>
      </c>
      <c r="BN134" s="22">
        <f t="shared" ref="BN134:BN143" si="66">STDEVP(BM133:BM134)</f>
        <v>529.5</v>
      </c>
      <c r="BO134" s="22">
        <v>3.6348801407665263</v>
      </c>
      <c r="BP134" s="22">
        <v>0.10629542934581743</v>
      </c>
      <c r="BQ134" s="22">
        <v>2.1334527695884314E-2</v>
      </c>
      <c r="BR134" s="22">
        <v>1.1621885175712013E-2</v>
      </c>
      <c r="BS134" s="22">
        <v>-3486</v>
      </c>
      <c r="BT134" s="22">
        <v>3.5423273827739745</v>
      </c>
      <c r="BU134" s="22">
        <v>8.9515445651336567E-2</v>
      </c>
      <c r="BV134" s="23">
        <v>5684</v>
      </c>
      <c r="BW134" s="22">
        <v>9446</v>
      </c>
      <c r="BX134" s="22">
        <v>11.62</v>
      </c>
      <c r="BY134" s="22">
        <v>1.0652061280543119</v>
      </c>
      <c r="BZ134" s="25">
        <v>0.27133479212253814</v>
      </c>
      <c r="CA134" s="23">
        <v>0.12277238883561896</v>
      </c>
      <c r="CB134" s="23">
        <v>12.277238883561896</v>
      </c>
      <c r="CC134" s="23">
        <v>1.0891007061810292</v>
      </c>
      <c r="CD134" s="23">
        <v>0.25781599843701042</v>
      </c>
      <c r="CE134" s="23">
        <v>0.16799821585194843</v>
      </c>
      <c r="CF134" s="23">
        <v>1.256281407035176</v>
      </c>
      <c r="CG134" s="23">
        <f t="shared" si="63"/>
        <v>0.22815609313775412</v>
      </c>
      <c r="CH134" s="26">
        <v>13.29</v>
      </c>
      <c r="CI134" s="26">
        <v>18.309999999999999</v>
      </c>
      <c r="CJ134" s="26">
        <v>1.1235249809427319</v>
      </c>
      <c r="CK134" s="26">
        <v>1.2626883443016965</v>
      </c>
      <c r="CL134" s="26">
        <v>-0.27416712179137082</v>
      </c>
      <c r="CM134" s="27">
        <v>16.030268199233717</v>
      </c>
      <c r="CN134" s="27">
        <v>-0.29117917128326054</v>
      </c>
      <c r="CQ134" s="27">
        <v>102.09153846153851</v>
      </c>
      <c r="CR134" s="27">
        <v>-0.11911486040268011</v>
      </c>
      <c r="CS134" s="27">
        <v>0.9859003831417622</v>
      </c>
      <c r="CT134" s="27">
        <v>0.92888888888888899</v>
      </c>
      <c r="CU134" s="27">
        <v>6.1376010559312889E-2</v>
      </c>
      <c r="CV134" s="27">
        <v>1.140877862595419</v>
      </c>
      <c r="CW134" s="27">
        <v>2.0572391532349976</v>
      </c>
      <c r="CX134" s="28">
        <v>1.07</v>
      </c>
      <c r="CY134" s="28">
        <v>0.66</v>
      </c>
      <c r="CZ134" s="29">
        <v>18.886297710000001</v>
      </c>
      <c r="DA134" s="27">
        <v>-0.40978411635852152</v>
      </c>
      <c r="DB134" s="27">
        <v>266.87708664986224</v>
      </c>
      <c r="DC134" s="27">
        <v>2.6347679627304119</v>
      </c>
      <c r="DD134" s="27">
        <v>3</v>
      </c>
      <c r="DE134" s="28">
        <v>1.99</v>
      </c>
      <c r="DF134" s="28">
        <v>87.136737999999994</v>
      </c>
      <c r="DG134" s="28">
        <v>4.467478585974396</v>
      </c>
      <c r="DH134" s="28">
        <v>0.88838099999999998</v>
      </c>
      <c r="DI134" s="28">
        <v>0.71391800000000005</v>
      </c>
      <c r="DJ134" s="27">
        <v>0.2</v>
      </c>
      <c r="DK134" s="27">
        <v>2.1</v>
      </c>
      <c r="DL134" s="27">
        <v>1.3035848693861207E-2</v>
      </c>
      <c r="DM134" s="27">
        <v>0.73780000000000001</v>
      </c>
      <c r="DN134" s="28">
        <v>0.95269999999999999</v>
      </c>
      <c r="DO134" s="28">
        <v>-0.15172290980322323</v>
      </c>
      <c r="DP134" s="28">
        <f t="shared" ref="DP134:DP144" si="67">(DM134-DM133)/DM133</f>
        <v>-7.0780856423173832E-2</v>
      </c>
      <c r="DQ134" s="27">
        <v>0.11370000000000002</v>
      </c>
      <c r="DR134" s="27">
        <v>2.6867542601332471E-2</v>
      </c>
      <c r="DS134" s="27">
        <v>3.2347817198611614E-2</v>
      </c>
      <c r="DT134" s="27">
        <v>3.9305854754660308E-2</v>
      </c>
      <c r="DU134" s="30">
        <v>5.5230399999999999</v>
      </c>
      <c r="DV134">
        <v>0.3</v>
      </c>
      <c r="DW134">
        <v>2.6</v>
      </c>
      <c r="DX134">
        <v>88</v>
      </c>
      <c r="DY134">
        <v>85.1</v>
      </c>
      <c r="DZ134">
        <v>2</v>
      </c>
      <c r="EA134">
        <v>1.5</v>
      </c>
      <c r="EB134">
        <v>1.913224</v>
      </c>
    </row>
    <row r="135" spans="1:132" ht="18">
      <c r="A135" s="14" t="s">
        <v>158</v>
      </c>
      <c r="B135" s="14">
        <v>4</v>
      </c>
      <c r="C135" s="14" t="s">
        <v>150</v>
      </c>
      <c r="D135" s="14" t="s">
        <v>159</v>
      </c>
      <c r="E135" s="14" t="s">
        <v>160</v>
      </c>
      <c r="F135" s="15">
        <v>7412.14</v>
      </c>
      <c r="G135" s="15">
        <v>3.8699436136491885</v>
      </c>
      <c r="H135" s="15">
        <v>4392.8500000000004</v>
      </c>
      <c r="I135" s="15">
        <v>0</v>
      </c>
      <c r="J135" s="16">
        <v>3019.29</v>
      </c>
      <c r="K135" s="16">
        <v>1</v>
      </c>
      <c r="L135" s="17">
        <v>0.1619007470184789</v>
      </c>
      <c r="M135" s="18">
        <v>40</v>
      </c>
      <c r="N135" s="18">
        <v>32</v>
      </c>
      <c r="O135" s="18">
        <v>0.83103205610424913</v>
      </c>
      <c r="P135" s="18">
        <v>1</v>
      </c>
      <c r="Q135" s="18">
        <v>1</v>
      </c>
      <c r="R135" s="18">
        <v>40</v>
      </c>
      <c r="S135" s="18">
        <v>4</v>
      </c>
      <c r="T135" s="19">
        <v>19179</v>
      </c>
      <c r="U135" s="19">
        <v>4.2828259591535272</v>
      </c>
      <c r="V135" s="20">
        <v>17696</v>
      </c>
      <c r="W135" s="20">
        <v>4.2478751096246041</v>
      </c>
      <c r="X135" s="20">
        <v>0.49280124759809518</v>
      </c>
      <c r="Y135" s="20">
        <v>0.21067231659999999</v>
      </c>
      <c r="Z135" s="20">
        <f t="shared" si="60"/>
        <v>-0.67639252911781556</v>
      </c>
      <c r="AA135" s="20">
        <v>0.34015620790000001</v>
      </c>
      <c r="AB135" s="20"/>
      <c r="AD135" s="21">
        <v>7173</v>
      </c>
      <c r="AE135" s="21">
        <f t="shared" si="53"/>
        <v>0.15667729675418288</v>
      </c>
      <c r="AF135" s="21">
        <f t="shared" si="54"/>
        <v>3.855700830835437</v>
      </c>
      <c r="AG135" s="22">
        <v>1.3760866716176663E-3</v>
      </c>
      <c r="AH135" s="23">
        <v>63</v>
      </c>
      <c r="AI135" s="22">
        <v>1.7938653959999999</v>
      </c>
      <c r="AJ135" s="22">
        <v>35909</v>
      </c>
      <c r="AK135" s="23">
        <f t="shared" si="37"/>
        <v>4.5552033109871424</v>
      </c>
      <c r="AL135" s="24">
        <v>0.39936281899999998</v>
      </c>
      <c r="AM135" s="22">
        <f>17683+11309</f>
        <v>28992</v>
      </c>
      <c r="AN135" s="22">
        <f t="shared" si="64"/>
        <v>0.63326198069110129</v>
      </c>
      <c r="AO135" s="23">
        <v>6.4967516241879061E-2</v>
      </c>
      <c r="AP135" s="33">
        <v>1.818225E-2</v>
      </c>
      <c r="AQ135" s="23">
        <v>0.25964762487721865</v>
      </c>
      <c r="AR135" s="22">
        <v>45782</v>
      </c>
      <c r="AS135" s="23">
        <v>4.6606947610338327</v>
      </c>
      <c r="AT135" s="23">
        <v>4.5904294046380487</v>
      </c>
      <c r="AU135" s="22">
        <v>0.996</v>
      </c>
      <c r="AV135" s="22">
        <v>0.68594401429999996</v>
      </c>
      <c r="AW135" s="22">
        <v>30.119</v>
      </c>
      <c r="AX135" s="22">
        <v>23.391999999999999</v>
      </c>
      <c r="AY135" s="22">
        <v>1</v>
      </c>
      <c r="AZ135" s="24">
        <v>48024</v>
      </c>
      <c r="BA135" s="24">
        <f t="shared" si="61"/>
        <v>4.6814583303478177</v>
      </c>
      <c r="BB135" s="24">
        <v>32512</v>
      </c>
      <c r="BC135" s="24">
        <f t="shared" si="62"/>
        <v>4.5120436862678064</v>
      </c>
      <c r="BD135" s="24">
        <v>15512</v>
      </c>
      <c r="BE135" s="22">
        <v>3120</v>
      </c>
      <c r="BF135" s="22">
        <f t="shared" si="65"/>
        <v>585</v>
      </c>
      <c r="BG135" s="23">
        <v>0.6</v>
      </c>
      <c r="BH135" s="23">
        <v>6.8149054213446331E-2</v>
      </c>
      <c r="BI135" s="23">
        <v>5.0073183884138353E-2</v>
      </c>
      <c r="BJ135" s="23">
        <v>1.9715611283822036E-2</v>
      </c>
      <c r="BK135" s="23">
        <v>0.36098903499191826</v>
      </c>
      <c r="BL135" s="22">
        <v>1950</v>
      </c>
      <c r="BM135" s="22">
        <v>6056</v>
      </c>
      <c r="BN135" s="22">
        <f t="shared" si="66"/>
        <v>871</v>
      </c>
      <c r="BO135" s="22">
        <v>3.7821858664920165</v>
      </c>
      <c r="BP135" s="22">
        <v>0.12610361485923705</v>
      </c>
      <c r="BQ135" s="22">
        <v>9.9040927567098092E-3</v>
      </c>
      <c r="BR135" s="22">
        <v>2.1334527695884314E-2</v>
      </c>
      <c r="BS135" s="22">
        <v>-3132</v>
      </c>
      <c r="BT135" s="22">
        <v>3.495821753385906</v>
      </c>
      <c r="BU135" s="22">
        <v>6.8411165960421128E-2</v>
      </c>
      <c r="BV135" s="23">
        <v>6797</v>
      </c>
      <c r="BW135" s="22">
        <v>11517</v>
      </c>
      <c r="BX135" s="22">
        <v>15.43</v>
      </c>
      <c r="BY135" s="22">
        <v>1.1883659260631483</v>
      </c>
      <c r="BZ135" s="25">
        <v>0.32788296041308096</v>
      </c>
      <c r="CA135" s="23">
        <v>0.16799821585194843</v>
      </c>
      <c r="CB135" s="23">
        <v>16.799821585194845</v>
      </c>
      <c r="CC135" s="23">
        <v>1.2253046695248622</v>
      </c>
      <c r="CD135" s="23">
        <v>0.12277238883561896</v>
      </c>
      <c r="CE135" s="23">
        <v>5.616296822113559E-2</v>
      </c>
      <c r="CF135" s="23">
        <v>1.5558639833448995</v>
      </c>
      <c r="CG135" s="23">
        <f t="shared" si="63"/>
        <v>0.44203100763258324</v>
      </c>
      <c r="CH135" s="26">
        <v>12.07</v>
      </c>
      <c r="CI135" s="26">
        <v>13.29</v>
      </c>
      <c r="CJ135" s="26">
        <v>1.0817072700973491</v>
      </c>
      <c r="CK135" s="26">
        <v>1.1235249809427319</v>
      </c>
      <c r="CL135" s="26">
        <v>-9.1798344620014974E-2</v>
      </c>
      <c r="CM135" s="27">
        <v>13.248115384615385</v>
      </c>
      <c r="CN135" s="27">
        <v>-0.17355622376619531</v>
      </c>
      <c r="CQ135" s="27">
        <v>81.715444015443992</v>
      </c>
      <c r="CR135" s="27">
        <v>-0.1995865157206041</v>
      </c>
      <c r="CS135" s="27">
        <v>0.91873076923076902</v>
      </c>
      <c r="CT135" s="27">
        <v>0.9859003831417622</v>
      </c>
      <c r="CU135" s="27">
        <v>-6.8130223965370842E-2</v>
      </c>
      <c r="CV135" s="27">
        <v>1.0315769230769232</v>
      </c>
      <c r="CW135" s="27">
        <v>2.0135016181765906</v>
      </c>
      <c r="CX135" s="28">
        <v>0.94</v>
      </c>
      <c r="CY135" s="28">
        <v>1.07</v>
      </c>
      <c r="CZ135" s="29">
        <v>14.03142308</v>
      </c>
      <c r="DA135" s="27">
        <v>-0.25705803776615366</v>
      </c>
      <c r="DB135" s="27">
        <v>1.72976924253802</v>
      </c>
      <c r="DC135" s="27">
        <v>266.87708664986224</v>
      </c>
      <c r="DD135" s="27">
        <v>3</v>
      </c>
      <c r="DE135" s="28">
        <v>1.2</v>
      </c>
      <c r="DF135" s="28">
        <v>90.752437</v>
      </c>
      <c r="DG135" s="28">
        <v>4.5081353267788886</v>
      </c>
      <c r="DH135" s="28">
        <v>0.91099600000000003</v>
      </c>
      <c r="DI135" s="28">
        <v>0.69542400000000004</v>
      </c>
      <c r="DJ135" s="27">
        <v>-0.7</v>
      </c>
      <c r="DK135" s="27">
        <v>1.5</v>
      </c>
      <c r="DL135" s="27">
        <v>8.4498661866614921E-3</v>
      </c>
      <c r="DM135" s="27">
        <v>0.84399999999999997</v>
      </c>
      <c r="DN135" s="28">
        <v>0.79300000000000004</v>
      </c>
      <c r="DO135" s="28">
        <v>-0.167628844337147</v>
      </c>
      <c r="DP135" s="28">
        <f t="shared" si="67"/>
        <v>0.14394144754676058</v>
      </c>
      <c r="DQ135" s="27">
        <v>0.11509999999999998</v>
      </c>
      <c r="DR135" s="27">
        <v>3.2347817198611614E-2</v>
      </c>
      <c r="DS135" s="27">
        <v>2.4490842135800685E-2</v>
      </c>
      <c r="DT135" s="27">
        <v>2.6867542601332471E-2</v>
      </c>
      <c r="DU135" s="30">
        <v>5.0767810000000004</v>
      </c>
      <c r="DV135">
        <v>-0.3</v>
      </c>
      <c r="DW135">
        <v>0.7</v>
      </c>
      <c r="DX135">
        <v>90.9</v>
      </c>
      <c r="DY135">
        <v>87.4</v>
      </c>
      <c r="DZ135">
        <v>1.6</v>
      </c>
      <c r="EA135">
        <v>1</v>
      </c>
      <c r="EB135">
        <v>2.1595819999999999</v>
      </c>
    </row>
    <row r="136" spans="1:132" ht="18">
      <c r="A136" s="14" t="s">
        <v>158</v>
      </c>
      <c r="B136" s="14">
        <v>5</v>
      </c>
      <c r="C136" s="14" t="s">
        <v>150</v>
      </c>
      <c r="D136" s="14" t="s">
        <v>159</v>
      </c>
      <c r="E136" s="14" t="s">
        <v>160</v>
      </c>
      <c r="F136" s="15">
        <v>5687.9</v>
      </c>
      <c r="G136" s="15">
        <v>3.7549519523788901</v>
      </c>
      <c r="H136" s="15">
        <v>5587.9</v>
      </c>
      <c r="I136" s="15">
        <v>0</v>
      </c>
      <c r="J136" s="16">
        <v>100</v>
      </c>
      <c r="K136" s="16">
        <v>1</v>
      </c>
      <c r="L136" s="17">
        <v>0.1258357115993009</v>
      </c>
      <c r="M136" s="18">
        <v>40</v>
      </c>
      <c r="N136" s="18">
        <v>32</v>
      </c>
      <c r="O136" s="18">
        <v>0.83103205610424913</v>
      </c>
      <c r="P136" s="18">
        <v>1</v>
      </c>
      <c r="Q136" s="18">
        <v>1</v>
      </c>
      <c r="R136" s="18">
        <v>40</v>
      </c>
      <c r="S136" s="18">
        <v>4</v>
      </c>
      <c r="T136" s="19">
        <v>18687</v>
      </c>
      <c r="U136" s="19">
        <v>4.2715395855938034</v>
      </c>
      <c r="V136" s="20">
        <v>18409</v>
      </c>
      <c r="W136" s="20">
        <v>4.2650301977230587</v>
      </c>
      <c r="X136" s="20">
        <v>0.49762123587608803</v>
      </c>
      <c r="Y136" s="20">
        <v>0.2556359373</v>
      </c>
      <c r="Z136" s="20">
        <f t="shared" si="60"/>
        <v>-0.59237809310365708</v>
      </c>
      <c r="AA136" s="20">
        <v>0.55168206379999996</v>
      </c>
      <c r="AB136" s="20"/>
      <c r="AD136" s="21">
        <v>6999</v>
      </c>
      <c r="AE136" s="21">
        <f t="shared" si="53"/>
        <v>0.15484170704187961</v>
      </c>
      <c r="AF136" s="21">
        <f t="shared" si="54"/>
        <v>3.8450359935134149</v>
      </c>
      <c r="AG136" s="22">
        <v>1.5928851131612133E-3</v>
      </c>
      <c r="AH136" s="23">
        <v>72</v>
      </c>
      <c r="AI136" s="22">
        <v>1.7729187449999999</v>
      </c>
      <c r="AJ136" s="22">
        <v>36994</v>
      </c>
      <c r="AK136" s="23">
        <f t="shared" si="37"/>
        <v>4.5681312922239501</v>
      </c>
      <c r="AL136" s="24">
        <v>0.36387888200000001</v>
      </c>
      <c r="AM136" s="22">
        <f>17084+10075</f>
        <v>27159</v>
      </c>
      <c r="AN136" s="22">
        <f t="shared" si="64"/>
        <v>0.60084953872701929</v>
      </c>
      <c r="AO136" s="23">
        <v>6.0831467237854153E-2</v>
      </c>
      <c r="AP136" s="33">
        <v>1.9736066E-2</v>
      </c>
      <c r="AQ136" s="23">
        <v>0.29526058882196532</v>
      </c>
      <c r="AR136" s="22">
        <v>45201</v>
      </c>
      <c r="AS136" s="23">
        <v>4.6551480429900955</v>
      </c>
      <c r="AT136" s="23">
        <v>4.6606947610338327</v>
      </c>
      <c r="AU136" s="22">
        <v>0.89700000000000002</v>
      </c>
      <c r="AV136" s="22">
        <v>0.62559583190000001</v>
      </c>
      <c r="AW136" s="22">
        <v>31.986999999999998</v>
      </c>
      <c r="AX136" s="22">
        <v>30.119</v>
      </c>
      <c r="AY136" s="22">
        <v>1</v>
      </c>
      <c r="AZ136" s="24">
        <v>51355</v>
      </c>
      <c r="BA136" s="24">
        <f t="shared" si="61"/>
        <v>4.7105827335554427</v>
      </c>
      <c r="BB136" s="24">
        <v>35117</v>
      </c>
      <c r="BC136" s="24">
        <f t="shared" si="62"/>
        <v>4.5455174076014924</v>
      </c>
      <c r="BD136" s="24">
        <v>16238</v>
      </c>
      <c r="BE136" s="22">
        <v>3124</v>
      </c>
      <c r="BF136" s="22">
        <f t="shared" si="65"/>
        <v>2</v>
      </c>
      <c r="BG136" s="23">
        <v>1.2820512820512821E-3</v>
      </c>
      <c r="BH136" s="23">
        <v>6.9113515187717092E-2</v>
      </c>
      <c r="BI136" s="23">
        <v>6.8149054213446331E-2</v>
      </c>
      <c r="BJ136" s="23">
        <v>1.9715611283822036E-2</v>
      </c>
      <c r="BK136" s="23">
        <v>1.4152228308994874E-2</v>
      </c>
      <c r="BL136" s="22">
        <v>3120</v>
      </c>
      <c r="BM136" s="22">
        <v>6038</v>
      </c>
      <c r="BN136" s="22">
        <f t="shared" si="66"/>
        <v>9</v>
      </c>
      <c r="BO136" s="22">
        <v>3.7808931086870787</v>
      </c>
      <c r="BP136" s="22">
        <v>0.11757375133872067</v>
      </c>
      <c r="BQ136" s="22">
        <v>4.2649317602581893E-3</v>
      </c>
      <c r="BR136" s="22">
        <v>9.9040927567098092E-3</v>
      </c>
      <c r="BS136" s="22">
        <v>-5222</v>
      </c>
      <c r="BT136" s="22">
        <v>3.7178368674869255</v>
      </c>
      <c r="BU136" s="22">
        <v>0.11552841751288688</v>
      </c>
      <c r="BV136" s="23">
        <v>6179</v>
      </c>
      <c r="BW136" s="22">
        <v>11287</v>
      </c>
      <c r="BX136" s="22">
        <v>16.89</v>
      </c>
      <c r="BY136" s="22">
        <v>1.2276296495710086</v>
      </c>
      <c r="BZ136" s="25">
        <v>9.4620868438107644E-2</v>
      </c>
      <c r="CA136" s="23">
        <v>5.616296822113559E-2</v>
      </c>
      <c r="CB136" s="23">
        <v>5.6162968221135587</v>
      </c>
      <c r="CC136" s="23">
        <v>0.74945005225557304</v>
      </c>
      <c r="CD136" s="23">
        <v>0.16799821585194843</v>
      </c>
      <c r="CE136" s="23">
        <v>0.12395940006731626</v>
      </c>
      <c r="CF136" s="23">
        <v>1.4280205655526992</v>
      </c>
      <c r="CG136" s="23">
        <f t="shared" si="63"/>
        <v>0.35628926546123835</v>
      </c>
      <c r="CH136" s="26">
        <v>11.56</v>
      </c>
      <c r="CI136" s="26">
        <v>12.07</v>
      </c>
      <c r="CJ136" s="26">
        <v>1.0629578340845103</v>
      </c>
      <c r="CK136" s="26">
        <v>1.0817072700973491</v>
      </c>
      <c r="CL136" s="26">
        <v>-4.2253521126760542E-2</v>
      </c>
      <c r="CM136" s="27">
        <v>13.296884615384608</v>
      </c>
      <c r="CN136" s="27">
        <v>3.681220260646025E-3</v>
      </c>
      <c r="CQ136" s="27">
        <v>67.989575289575299</v>
      </c>
      <c r="CR136" s="27">
        <v>-0.167971536975</v>
      </c>
      <c r="CS136" s="27">
        <v>0.84238461538461584</v>
      </c>
      <c r="CT136" s="27">
        <v>0.91873076923076902</v>
      </c>
      <c r="CU136" s="27">
        <v>-8.3099593921379125E-2</v>
      </c>
      <c r="CV136" s="27">
        <v>0.92230769230769172</v>
      </c>
      <c r="CW136" s="27">
        <v>1.9648758307920116</v>
      </c>
      <c r="CX136" s="28">
        <v>0.56000000000000005</v>
      </c>
      <c r="CY136" s="28">
        <v>0.94</v>
      </c>
      <c r="CZ136" s="29">
        <v>16.52657692</v>
      </c>
      <c r="DA136" s="27">
        <v>0.17782614249273998</v>
      </c>
      <c r="DB136" s="27">
        <v>1.322681365714484</v>
      </c>
      <c r="DC136" s="27">
        <v>1.72976924253802</v>
      </c>
      <c r="DD136" s="27">
        <v>3</v>
      </c>
      <c r="DE136" s="28">
        <v>0.7</v>
      </c>
      <c r="DF136" s="28">
        <v>94.362747999999996</v>
      </c>
      <c r="DG136" s="28">
        <v>4.5471463766249602</v>
      </c>
      <c r="DH136" s="28">
        <v>0.93673899999999999</v>
      </c>
      <c r="DI136" s="28">
        <v>0.69208400000000003</v>
      </c>
      <c r="DJ136" s="27">
        <v>-0.2</v>
      </c>
      <c r="DK136" s="27">
        <v>1.8</v>
      </c>
      <c r="DL136" s="27">
        <v>7.6672365931182819E-3</v>
      </c>
      <c r="DM136" s="27">
        <v>0.75770000000000004</v>
      </c>
      <c r="DN136" s="28">
        <v>0.74250000000000005</v>
      </c>
      <c r="DO136" s="28">
        <v>-6.3682219419924316E-2</v>
      </c>
      <c r="DP136" s="28">
        <f t="shared" si="67"/>
        <v>-0.10225118483412314</v>
      </c>
      <c r="DQ136" s="27">
        <v>9.7799999999999998E-2</v>
      </c>
      <c r="DR136" s="27">
        <v>2.4490842135800685E-2</v>
      </c>
      <c r="DS136" s="27">
        <v>2.77430650961079E-2</v>
      </c>
      <c r="DT136" s="27">
        <v>3.2347817198611614E-2</v>
      </c>
      <c r="DU136" s="30">
        <v>4.6174650000000002</v>
      </c>
      <c r="DV136">
        <v>-0.5</v>
      </c>
      <c r="DW136">
        <v>-0.4</v>
      </c>
      <c r="DX136">
        <v>93.7</v>
      </c>
      <c r="DY136">
        <v>89.8</v>
      </c>
      <c r="DZ136">
        <v>1.6</v>
      </c>
      <c r="EA136">
        <v>1.7</v>
      </c>
      <c r="EB136">
        <v>2.2385109999999999</v>
      </c>
    </row>
    <row r="137" spans="1:132" ht="18">
      <c r="A137" s="14" t="s">
        <v>158</v>
      </c>
      <c r="B137" s="14">
        <v>6</v>
      </c>
      <c r="C137" s="14" t="s">
        <v>150</v>
      </c>
      <c r="D137" s="14" t="s">
        <v>159</v>
      </c>
      <c r="E137" s="14" t="s">
        <v>160</v>
      </c>
      <c r="F137" s="15">
        <v>5698</v>
      </c>
      <c r="G137" s="15">
        <v>3.7557224449034581</v>
      </c>
      <c r="H137" s="15">
        <v>5390</v>
      </c>
      <c r="I137" s="15">
        <v>0</v>
      </c>
      <c r="J137" s="16">
        <v>308</v>
      </c>
      <c r="K137" s="16">
        <v>1</v>
      </c>
      <c r="L137" s="17">
        <v>0.12081248409804088</v>
      </c>
      <c r="M137" s="18">
        <v>40</v>
      </c>
      <c r="N137" s="18">
        <v>32</v>
      </c>
      <c r="O137" s="18">
        <v>0.83103205610424913</v>
      </c>
      <c r="P137" s="18">
        <v>1</v>
      </c>
      <c r="Q137" s="18">
        <v>1</v>
      </c>
      <c r="R137" s="18">
        <v>40</v>
      </c>
      <c r="S137" s="18">
        <v>4</v>
      </c>
      <c r="T137" s="19">
        <v>18344</v>
      </c>
      <c r="U137" s="19">
        <v>4.2634940417218825</v>
      </c>
      <c r="V137" s="20">
        <v>16199</v>
      </c>
      <c r="W137" s="20">
        <v>4.2094882054138285</v>
      </c>
      <c r="X137" s="20">
        <v>0.43122587514974042</v>
      </c>
      <c r="Y137" s="20">
        <v>0.4346462619</v>
      </c>
      <c r="Z137" s="20">
        <f t="shared" si="60"/>
        <v>-0.36186405109731939</v>
      </c>
      <c r="AA137" s="20">
        <v>0.4346462619</v>
      </c>
      <c r="AB137" s="20"/>
      <c r="AD137" s="21">
        <v>3026</v>
      </c>
      <c r="AE137" s="21">
        <f t="shared" si="53"/>
        <v>6.4159104401662281E-2</v>
      </c>
      <c r="AF137" s="21">
        <f t="shared" si="54"/>
        <v>3.4808689236871677</v>
      </c>
      <c r="AG137" s="22">
        <v>1.6326011364600119E-3</v>
      </c>
      <c r="AH137" s="23">
        <v>77</v>
      </c>
      <c r="AI137" s="22">
        <v>1.553334725</v>
      </c>
      <c r="AJ137" s="22">
        <v>37565</v>
      </c>
      <c r="AK137" s="23">
        <f t="shared" si="37"/>
        <v>4.5747833931757764</v>
      </c>
      <c r="AL137" s="24">
        <v>0.35210564700000002</v>
      </c>
      <c r="AM137" s="22">
        <f>16647+11355</f>
        <v>28002</v>
      </c>
      <c r="AN137" s="22">
        <f t="shared" si="64"/>
        <v>0.593715545755237</v>
      </c>
      <c r="AO137" s="23">
        <v>6.1192368229106682E-2</v>
      </c>
      <c r="AP137" s="33">
        <v>2.5736539999999999E-2</v>
      </c>
      <c r="AQ137" s="23">
        <v>0.41055016028744346</v>
      </c>
      <c r="AR137" s="22">
        <v>47164</v>
      </c>
      <c r="AS137" s="23">
        <v>4.6736106306948946</v>
      </c>
      <c r="AT137" s="23">
        <v>4.6551480429900955</v>
      </c>
      <c r="AU137" s="22">
        <v>0.88600000000000001</v>
      </c>
      <c r="AV137" s="22">
        <v>0.60359043940000001</v>
      </c>
      <c r="AW137" s="22">
        <v>29.765000000000001</v>
      </c>
      <c r="AX137" s="22">
        <v>31.986999999999998</v>
      </c>
      <c r="AY137" s="22">
        <v>1</v>
      </c>
      <c r="AZ137" s="24">
        <v>52098</v>
      </c>
      <c r="BA137" s="24">
        <f t="shared" si="61"/>
        <v>4.7168210514063231</v>
      </c>
      <c r="BB137" s="24">
        <v>36294</v>
      </c>
      <c r="BC137" s="24">
        <f t="shared" si="62"/>
        <v>4.5598348348909941</v>
      </c>
      <c r="BD137" s="24">
        <v>15804</v>
      </c>
      <c r="BE137" s="22">
        <v>3188</v>
      </c>
      <c r="BF137" s="22">
        <f t="shared" si="65"/>
        <v>32</v>
      </c>
      <c r="BG137" s="23">
        <v>2.0486555697823303E-2</v>
      </c>
      <c r="BH137" s="23">
        <v>6.759392757187685E-2</v>
      </c>
      <c r="BI137" s="23">
        <v>6.9113515187717092E-2</v>
      </c>
      <c r="BJ137" s="23">
        <v>1.9715611283822036E-2</v>
      </c>
      <c r="BK137" s="23">
        <v>-2.1986837331496416E-2</v>
      </c>
      <c r="BL137" s="22">
        <v>3124</v>
      </c>
      <c r="BM137" s="22">
        <v>5712</v>
      </c>
      <c r="BN137" s="22">
        <f t="shared" si="66"/>
        <v>163</v>
      </c>
      <c r="BO137" s="22">
        <v>3.7567881987681178</v>
      </c>
      <c r="BP137" s="22">
        <v>0.10963952550961649</v>
      </c>
      <c r="BQ137" s="22">
        <v>3.9671129145520886E-3</v>
      </c>
      <c r="BR137" s="22">
        <v>4.2649317602581893E-3</v>
      </c>
      <c r="BS137" s="22">
        <v>-4082</v>
      </c>
      <c r="BT137" s="22">
        <v>3.6108730003800518</v>
      </c>
      <c r="BU137" s="22">
        <v>8.6549062844542446E-2</v>
      </c>
      <c r="BV137" s="23">
        <v>5460</v>
      </c>
      <c r="BW137" s="22">
        <v>11566</v>
      </c>
      <c r="BX137" s="22">
        <v>16.36</v>
      </c>
      <c r="BY137" s="22">
        <v>1.2137832993353042</v>
      </c>
      <c r="BZ137" s="25">
        <v>-3.1379514505624699E-2</v>
      </c>
      <c r="CA137" s="23">
        <v>0.12395940006731626</v>
      </c>
      <c r="CB137" s="23">
        <v>12.395940006731626</v>
      </c>
      <c r="CC137" s="23">
        <v>1.0932794656949918</v>
      </c>
      <c r="CD137" s="23">
        <v>5.616296822113559E-2</v>
      </c>
      <c r="CE137" s="23">
        <v>0.27313997209053248</v>
      </c>
      <c r="CF137" s="23">
        <v>1.3361391694725027</v>
      </c>
      <c r="CG137" s="23">
        <f t="shared" si="63"/>
        <v>0.28978423845610807</v>
      </c>
      <c r="CH137" s="26">
        <v>22.5</v>
      </c>
      <c r="CI137" s="26">
        <v>11.56</v>
      </c>
      <c r="CJ137" s="26">
        <v>1.3521825181113625</v>
      </c>
      <c r="CK137" s="26">
        <v>1.0629578340845103</v>
      </c>
      <c r="CL137" s="26">
        <v>0.94636678200692037</v>
      </c>
      <c r="CM137" s="27">
        <v>18.34360153256705</v>
      </c>
      <c r="CN137" s="27">
        <v>0.37954130333231201</v>
      </c>
      <c r="CQ137" s="27">
        <v>77.833846153846167</v>
      </c>
      <c r="CR137" s="27">
        <v>0.14479088628430173</v>
      </c>
      <c r="CS137" s="27">
        <v>0.72605363984674265</v>
      </c>
      <c r="CT137" s="27">
        <v>0.84238461538461584</v>
      </c>
      <c r="CU137" s="27">
        <v>-0.13809722235342442</v>
      </c>
      <c r="CV137" s="27">
        <v>0.78180076628352502</v>
      </c>
      <c r="CW137" s="27">
        <v>1.8930960917710087</v>
      </c>
      <c r="CX137" s="28">
        <v>0.88</v>
      </c>
      <c r="CY137" s="28">
        <v>0.56000000000000005</v>
      </c>
      <c r="CZ137" s="29">
        <v>19.614636019999999</v>
      </c>
      <c r="DA137" s="27">
        <v>0.18685412683753744</v>
      </c>
      <c r="DB137" s="27">
        <v>2.3607257116750975</v>
      </c>
      <c r="DC137" s="27">
        <v>1.322681365714484</v>
      </c>
      <c r="DD137" s="27">
        <v>3</v>
      </c>
      <c r="DE137" s="28">
        <v>0.03</v>
      </c>
      <c r="DF137" s="28">
        <v>97.506146000000001</v>
      </c>
      <c r="DG137" s="28">
        <v>4.5799154119145591</v>
      </c>
      <c r="DH137" s="28">
        <v>0.96040199999999998</v>
      </c>
      <c r="DI137" s="28">
        <v>0.721441</v>
      </c>
      <c r="DJ137" s="27">
        <v>0.9</v>
      </c>
      <c r="DK137" s="27">
        <v>1.8</v>
      </c>
      <c r="DL137" s="27">
        <v>1.679984422560547E-2</v>
      </c>
      <c r="DM137" s="27">
        <v>0.6855</v>
      </c>
      <c r="DN137" s="28">
        <v>0.84760000000000002</v>
      </c>
      <c r="DO137" s="28">
        <v>0.14154882154882151</v>
      </c>
      <c r="DP137" s="28">
        <f t="shared" si="67"/>
        <v>-9.5288372706876123E-2</v>
      </c>
      <c r="DQ137" s="27">
        <v>0.10279999999999989</v>
      </c>
      <c r="DR137" s="27">
        <v>2.77430650961079E-2</v>
      </c>
      <c r="DS137" s="27">
        <v>5.0662060808238797E-2</v>
      </c>
      <c r="DT137" s="27">
        <v>2.4490842135800685E-2</v>
      </c>
      <c r="DU137" s="30">
        <v>4.6191050000000002</v>
      </c>
      <c r="DV137">
        <v>-0.9</v>
      </c>
      <c r="DW137">
        <v>-0.7</v>
      </c>
      <c r="DX137">
        <v>96.2</v>
      </c>
      <c r="DY137">
        <v>92.4</v>
      </c>
      <c r="DZ137">
        <v>2.1</v>
      </c>
      <c r="EA137">
        <v>1.9</v>
      </c>
      <c r="EB137">
        <v>2.1588159999999998</v>
      </c>
    </row>
    <row r="138" spans="1:132" ht="18">
      <c r="A138" s="14" t="s">
        <v>158</v>
      </c>
      <c r="B138" s="14">
        <v>7</v>
      </c>
      <c r="C138" s="14" t="s">
        <v>150</v>
      </c>
      <c r="D138" s="14" t="s">
        <v>159</v>
      </c>
      <c r="E138" s="14" t="s">
        <v>160</v>
      </c>
      <c r="F138" s="15">
        <v>8113</v>
      </c>
      <c r="G138" s="15">
        <v>3.9091814759778529</v>
      </c>
      <c r="H138" s="15">
        <v>5304</v>
      </c>
      <c r="I138" s="15">
        <v>0</v>
      </c>
      <c r="J138" s="16">
        <v>2809</v>
      </c>
      <c r="K138" s="16">
        <v>1</v>
      </c>
      <c r="L138" s="17">
        <v>0.16413441501952294</v>
      </c>
      <c r="M138" s="18">
        <v>40</v>
      </c>
      <c r="N138" s="18">
        <v>32</v>
      </c>
      <c r="O138" s="18">
        <v>0.83103205610424913</v>
      </c>
      <c r="P138" s="18">
        <v>1</v>
      </c>
      <c r="Q138" s="18">
        <v>1</v>
      </c>
      <c r="R138" s="18">
        <v>40</v>
      </c>
      <c r="S138" s="18">
        <v>4</v>
      </c>
      <c r="T138" s="19">
        <v>20214</v>
      </c>
      <c r="U138" s="19">
        <v>4.3056522613647639</v>
      </c>
      <c r="V138" s="20">
        <v>16125</v>
      </c>
      <c r="W138" s="20">
        <v>4.207499723307305</v>
      </c>
      <c r="X138" s="20">
        <v>0.44419040273263183</v>
      </c>
      <c r="Y138" s="20">
        <v>0.47560125479999998</v>
      </c>
      <c r="Z138" s="20">
        <f t="shared" si="60"/>
        <v>-0.32275700823333553</v>
      </c>
      <c r="AA138" s="20">
        <v>0.4756219773</v>
      </c>
      <c r="AB138" s="20"/>
      <c r="AD138" s="21">
        <v>2962</v>
      </c>
      <c r="AE138" s="21">
        <f t="shared" si="53"/>
        <v>5.9924335916162579E-2</v>
      </c>
      <c r="AF138" s="21">
        <f t="shared" si="54"/>
        <v>3.4715850541851898</v>
      </c>
      <c r="AG138" s="22">
        <v>1.6791761921139412E-3</v>
      </c>
      <c r="AH138" s="22">
        <v>83</v>
      </c>
      <c r="AI138" s="22">
        <v>0.87768996379999997</v>
      </c>
      <c r="AJ138" s="22">
        <v>36302</v>
      </c>
      <c r="AK138" s="23">
        <f t="shared" si="37"/>
        <v>4.5599305524475895</v>
      </c>
      <c r="AL138" s="24">
        <v>0.350086595</v>
      </c>
      <c r="AM138" s="22">
        <f>17138+11021</f>
        <v>28159</v>
      </c>
      <c r="AN138" s="22">
        <f t="shared" si="64"/>
        <v>0.56968581197272861</v>
      </c>
      <c r="AO138" s="23">
        <v>4.7990994111534464E-2</v>
      </c>
      <c r="AP138" s="33">
        <v>4.0435066999999998E-2</v>
      </c>
      <c r="AQ138" s="23">
        <v>0.60675816706345653</v>
      </c>
      <c r="AR138" s="22">
        <v>49429</v>
      </c>
      <c r="AS138" s="23">
        <v>4.6939818243212867</v>
      </c>
      <c r="AT138" s="23">
        <v>4.6736106306948946</v>
      </c>
      <c r="AU138" s="22">
        <v>0.98899999999999999</v>
      </c>
      <c r="AV138" s="22">
        <v>0.5762235765</v>
      </c>
      <c r="AW138" s="22">
        <v>18.434999999999999</v>
      </c>
      <c r="AX138" s="22">
        <v>29.765000000000001</v>
      </c>
      <c r="AY138" s="22">
        <v>1</v>
      </c>
      <c r="AZ138" s="24">
        <v>57740</v>
      </c>
      <c r="BA138" s="24">
        <f t="shared" si="61"/>
        <v>4.7614767795447017</v>
      </c>
      <c r="BB138" s="24">
        <v>40861</v>
      </c>
      <c r="BC138" s="24">
        <f t="shared" si="62"/>
        <v>4.6113089910083129</v>
      </c>
      <c r="BD138" s="24">
        <v>16879</v>
      </c>
      <c r="BE138" s="22">
        <v>2771</v>
      </c>
      <c r="BF138" s="22">
        <f t="shared" si="65"/>
        <v>208.5</v>
      </c>
      <c r="BG138" s="23">
        <v>-0.13080301129234631</v>
      </c>
      <c r="BH138" s="23">
        <v>5.6060207570454594E-2</v>
      </c>
      <c r="BI138" s="23">
        <v>6.759392757187685E-2</v>
      </c>
      <c r="BJ138" s="23">
        <v>1.9715611283822036E-2</v>
      </c>
      <c r="BK138" s="23">
        <v>-0.17063248749908386</v>
      </c>
      <c r="BL138" s="22">
        <v>3188</v>
      </c>
      <c r="BM138" s="22">
        <v>6699</v>
      </c>
      <c r="BN138" s="22">
        <f t="shared" si="66"/>
        <v>493.5</v>
      </c>
      <c r="BO138" s="22">
        <v>3.8260099777911005</v>
      </c>
      <c r="BP138" s="22">
        <v>0.11602009005888465</v>
      </c>
      <c r="BQ138" s="22">
        <v>3.190282274634082E-3</v>
      </c>
      <c r="BR138" s="22">
        <v>3.9671129145520886E-3</v>
      </c>
      <c r="BS138" s="22">
        <v>-4715</v>
      </c>
      <c r="BT138" s="22">
        <v>3.6734816970733473</v>
      </c>
      <c r="BU138" s="22">
        <v>9.5389346335147382E-2</v>
      </c>
      <c r="BV138" s="23">
        <v>6435</v>
      </c>
      <c r="BW138" s="22">
        <v>12103</v>
      </c>
      <c r="BX138" s="22">
        <v>10.84</v>
      </c>
      <c r="BY138" s="22">
        <v>1.0350292822023681</v>
      </c>
      <c r="BZ138" s="25">
        <v>-0.33740831295843521</v>
      </c>
      <c r="CA138" s="23">
        <v>0.27313997209053248</v>
      </c>
      <c r="CB138" s="23">
        <v>27.313997209053248</v>
      </c>
      <c r="CC138" s="23">
        <v>1.4363852606965082</v>
      </c>
      <c r="CD138" s="23">
        <v>0.12395940006731626</v>
      </c>
      <c r="CE138" s="23">
        <v>0.22768051426072636</v>
      </c>
      <c r="CF138" s="23">
        <v>2.2231320368474923</v>
      </c>
      <c r="CG138" s="23">
        <f t="shared" si="63"/>
        <v>0.79891702901104333</v>
      </c>
      <c r="CH138" s="26">
        <v>40</v>
      </c>
      <c r="CI138" s="26">
        <v>22.5</v>
      </c>
      <c r="CJ138" s="26">
        <v>1.6020599913279623</v>
      </c>
      <c r="CK138" s="26">
        <v>1.3521825181113625</v>
      </c>
      <c r="CL138" s="26">
        <v>0.77777777777777779</v>
      </c>
      <c r="CM138" s="27">
        <v>34.430804597701169</v>
      </c>
      <c r="CN138" s="27">
        <v>0.87699261437690179</v>
      </c>
      <c r="CO138" s="27">
        <v>14.002720000000007</v>
      </c>
      <c r="CQ138" s="27">
        <v>141.16230769230771</v>
      </c>
      <c r="CR138" s="27">
        <v>0.81363654332700808</v>
      </c>
      <c r="CS138" s="27">
        <v>1.4151340996168575</v>
      </c>
      <c r="CT138" s="27">
        <v>0.72605363984674265</v>
      </c>
      <c r="CU138" s="27">
        <v>0.94907651715039654</v>
      </c>
      <c r="CV138" s="27">
        <v>1.549389312977099</v>
      </c>
      <c r="CW138" s="27">
        <v>2.1901605560639821</v>
      </c>
      <c r="CX138" s="28">
        <v>2.34</v>
      </c>
      <c r="CY138" s="28">
        <v>0.88</v>
      </c>
      <c r="CZ138" s="29">
        <v>33.709007630000002</v>
      </c>
      <c r="DA138" s="27">
        <v>0.71856401493398725</v>
      </c>
      <c r="DB138" s="27">
        <v>3.1430399491928545</v>
      </c>
      <c r="DC138" s="27">
        <v>2.3607257116750975</v>
      </c>
      <c r="DD138" s="27">
        <v>3</v>
      </c>
      <c r="DE138" s="28">
        <v>-0.26</v>
      </c>
      <c r="DF138" s="28">
        <v>99.588460999999995</v>
      </c>
      <c r="DG138" s="28">
        <v>4.6010463044653731</v>
      </c>
      <c r="DH138" s="28">
        <v>0.983541</v>
      </c>
      <c r="DI138" s="28">
        <v>0.70962800000000004</v>
      </c>
      <c r="DJ138" s="27">
        <v>2.2000000000000002</v>
      </c>
      <c r="DK138" s="27">
        <v>2</v>
      </c>
      <c r="DL138" s="27">
        <v>4.1965997035105826E-2</v>
      </c>
      <c r="DM138" s="27">
        <v>0.71560000000000001</v>
      </c>
      <c r="DN138" s="28">
        <v>0.75849999999999995</v>
      </c>
      <c r="DO138" s="28">
        <v>-0.10512033978291654</v>
      </c>
      <c r="DP138" s="28">
        <f t="shared" si="67"/>
        <v>4.3909555069292512E-2</v>
      </c>
      <c r="DQ138" s="27">
        <v>0.17789999999999995</v>
      </c>
      <c r="DR138" s="27">
        <v>5.0662060808238797E-2</v>
      </c>
      <c r="DS138" s="27">
        <v>3.802148779895468E-2</v>
      </c>
      <c r="DT138" s="27">
        <v>2.77430650961079E-2</v>
      </c>
      <c r="DU138" s="30">
        <v>5.7984980000000004</v>
      </c>
      <c r="DV138">
        <v>-1</v>
      </c>
      <c r="DW138">
        <v>0.7</v>
      </c>
      <c r="DX138">
        <v>98</v>
      </c>
      <c r="DY138">
        <v>95</v>
      </c>
      <c r="DZ138">
        <v>1.6</v>
      </c>
      <c r="EA138">
        <v>1.7</v>
      </c>
      <c r="EB138">
        <v>2.0603549999999999</v>
      </c>
    </row>
    <row r="139" spans="1:132" ht="18">
      <c r="A139" s="14" t="s">
        <v>158</v>
      </c>
      <c r="B139" s="14">
        <v>8</v>
      </c>
      <c r="C139" s="14" t="s">
        <v>150</v>
      </c>
      <c r="D139" s="14" t="s">
        <v>159</v>
      </c>
      <c r="E139" s="14" t="s">
        <v>160</v>
      </c>
      <c r="F139" s="15">
        <v>4713</v>
      </c>
      <c r="G139" s="15">
        <v>3.6732974397596356</v>
      </c>
      <c r="H139" s="15">
        <v>3910</v>
      </c>
      <c r="I139" s="15">
        <v>0</v>
      </c>
      <c r="J139" s="16">
        <v>803</v>
      </c>
      <c r="K139" s="16">
        <v>1</v>
      </c>
      <c r="L139" s="17">
        <v>8.1142502969887925E-2</v>
      </c>
      <c r="M139" s="18">
        <v>40</v>
      </c>
      <c r="N139" s="18">
        <v>32</v>
      </c>
      <c r="O139" s="18">
        <v>0.83103205610424913</v>
      </c>
      <c r="P139" s="18">
        <v>1</v>
      </c>
      <c r="Q139" s="18">
        <v>1</v>
      </c>
      <c r="R139" s="18">
        <v>40</v>
      </c>
      <c r="S139" s="18">
        <v>4</v>
      </c>
      <c r="T139" s="19">
        <v>16367</v>
      </c>
      <c r="U139" s="19">
        <v>4.2139690824146996</v>
      </c>
      <c r="V139" s="20">
        <v>17282</v>
      </c>
      <c r="W139" s="20">
        <v>4.2375940007992474</v>
      </c>
      <c r="X139" s="20">
        <v>0.42136831325888718</v>
      </c>
      <c r="Y139" s="20">
        <v>0.44179317289999998</v>
      </c>
      <c r="Z139" s="20">
        <f t="shared" si="60"/>
        <v>-0.35478099963426785</v>
      </c>
      <c r="AA139" s="20">
        <v>0.57612330030000003</v>
      </c>
      <c r="AB139" s="20"/>
      <c r="AD139" s="21">
        <v>3026</v>
      </c>
      <c r="AE139" s="21">
        <f t="shared" si="53"/>
        <v>5.2097859959024155E-2</v>
      </c>
      <c r="AF139" s="21">
        <f t="shared" si="54"/>
        <v>3.4808689236871677</v>
      </c>
      <c r="AG139" s="22">
        <v>1.2912556169619338E-3</v>
      </c>
      <c r="AH139" s="22">
        <v>75</v>
      </c>
      <c r="AI139" s="22">
        <v>1.06872049</v>
      </c>
      <c r="AJ139" s="22">
        <v>41014</v>
      </c>
      <c r="AK139" s="23">
        <f t="shared" si="37"/>
        <v>4.6129321270834707</v>
      </c>
      <c r="AL139" s="24">
        <v>0.35714753300000002</v>
      </c>
      <c r="AM139" s="22">
        <f>24699+11993</f>
        <v>36692</v>
      </c>
      <c r="AN139" s="22">
        <f t="shared" si="64"/>
        <v>0.63171668130089698</v>
      </c>
      <c r="AO139" s="23">
        <v>3.401924629585179E-2</v>
      </c>
      <c r="AP139" s="33">
        <v>1.4762178000000001E-2</v>
      </c>
      <c r="AQ139" s="23">
        <v>0.169150437676723</v>
      </c>
      <c r="AR139" s="22">
        <v>58083</v>
      </c>
      <c r="AS139" s="23">
        <v>4.7640490396789179</v>
      </c>
      <c r="AT139" s="23">
        <v>4.6939818243212867</v>
      </c>
      <c r="AU139" s="22">
        <v>1.2589999999999999</v>
      </c>
      <c r="AV139" s="22">
        <v>0.88602683370000002</v>
      </c>
      <c r="AW139" s="22">
        <v>22.861000000000001</v>
      </c>
      <c r="AX139" s="22">
        <v>18.434999999999999</v>
      </c>
      <c r="AY139" s="22">
        <v>1</v>
      </c>
      <c r="AZ139" s="24">
        <v>45827</v>
      </c>
      <c r="BA139" s="24">
        <f t="shared" si="61"/>
        <v>4.6611214276988449</v>
      </c>
      <c r="BB139" s="24">
        <v>31433</v>
      </c>
      <c r="BC139" s="24">
        <f t="shared" si="62"/>
        <v>4.4973858325374474</v>
      </c>
      <c r="BD139" s="24">
        <v>14394</v>
      </c>
      <c r="BE139" s="22">
        <v>1559</v>
      </c>
      <c r="BF139" s="22">
        <f t="shared" si="65"/>
        <v>606</v>
      </c>
      <c r="BG139" s="23">
        <v>-0.43738722482858172</v>
      </c>
      <c r="BH139" s="23">
        <v>2.6840900091248732E-2</v>
      </c>
      <c r="BI139" s="23">
        <v>5.6060207570454594E-2</v>
      </c>
      <c r="BJ139" s="23">
        <v>1.9715611283822036E-2</v>
      </c>
      <c r="BK139" s="23">
        <v>-0.52121297343546247</v>
      </c>
      <c r="BL139" s="22">
        <v>2771</v>
      </c>
      <c r="BM139" s="22">
        <v>4765</v>
      </c>
      <c r="BN139" s="22">
        <f t="shared" si="66"/>
        <v>967</v>
      </c>
      <c r="BO139" s="22">
        <v>3.6780629049743454</v>
      </c>
      <c r="BP139" s="22">
        <v>0.10397800423331224</v>
      </c>
      <c r="BQ139" s="22">
        <v>6.0210429127862041E-3</v>
      </c>
      <c r="BR139" s="22">
        <v>3.190282274634082E-3</v>
      </c>
      <c r="BS139" s="22">
        <v>-7854</v>
      </c>
      <c r="BT139" s="22">
        <v>3.8950908969343994</v>
      </c>
      <c r="BU139" s="22">
        <v>0.13522028820825371</v>
      </c>
      <c r="BV139" s="23">
        <v>5349</v>
      </c>
      <c r="BW139" s="22">
        <v>18953</v>
      </c>
      <c r="BX139" s="22">
        <v>14.85</v>
      </c>
      <c r="BY139" s="22">
        <v>1.1717264536532312</v>
      </c>
      <c r="BZ139" s="25">
        <v>0.36992619926199261</v>
      </c>
      <c r="CA139" s="23">
        <v>0.22768051426072636</v>
      </c>
      <c r="CB139" s="23">
        <v>22.768051426072635</v>
      </c>
      <c r="CC139" s="23">
        <v>1.3573258636798766</v>
      </c>
      <c r="CD139" s="23">
        <v>0.27313997209053248</v>
      </c>
      <c r="CE139" s="23">
        <v>5.2225758931015019E-2</v>
      </c>
      <c r="CF139" s="23">
        <v>1.7131428571428571</v>
      </c>
      <c r="CG139" s="23">
        <f t="shared" si="63"/>
        <v>0.53832961174498328</v>
      </c>
      <c r="CH139" s="26">
        <v>21.68</v>
      </c>
      <c r="CI139" s="26">
        <v>40</v>
      </c>
      <c r="CJ139" s="26">
        <v>1.3360592778663494</v>
      </c>
      <c r="CK139" s="26">
        <v>1.6020599913279623</v>
      </c>
      <c r="CL139" s="26">
        <v>-0.45800000000000002</v>
      </c>
      <c r="CM139" s="27">
        <v>32.806781609195411</v>
      </c>
      <c r="CN139" s="27">
        <v>-4.7167732717294325E-2</v>
      </c>
      <c r="CO139" s="27">
        <v>14.687391304347829</v>
      </c>
      <c r="CP139" s="27">
        <v>4.8895593452402179E-2</v>
      </c>
      <c r="CQ139" s="27">
        <v>128.33115384615388</v>
      </c>
      <c r="CR139" s="27">
        <v>-9.0896458522922177E-2</v>
      </c>
      <c r="CS139" s="27">
        <v>1.3546743295019157</v>
      </c>
      <c r="CT139" s="27">
        <v>1.4151340996168575</v>
      </c>
      <c r="CU139" s="27">
        <v>-4.272370380397951E-2</v>
      </c>
      <c r="CV139" s="27">
        <v>1.5608045977011498</v>
      </c>
      <c r="CW139" s="27">
        <v>2.1933485357004661</v>
      </c>
      <c r="CX139" s="28">
        <v>1.03</v>
      </c>
      <c r="CY139" s="28">
        <v>2.34</v>
      </c>
      <c r="CZ139" s="29">
        <v>33.580881230000003</v>
      </c>
      <c r="DA139" s="27">
        <v>-3.8009543741646867E-3</v>
      </c>
      <c r="DB139" s="27">
        <v>1.4102002336892525</v>
      </c>
      <c r="DC139" s="27">
        <v>3.1430399491928545</v>
      </c>
      <c r="DD139" s="27">
        <v>3</v>
      </c>
      <c r="DE139" s="28">
        <v>2.76</v>
      </c>
      <c r="DF139" s="28">
        <v>99.839950000000002</v>
      </c>
      <c r="DG139" s="28">
        <v>4.6035684038197102</v>
      </c>
      <c r="DH139" s="28">
        <v>0.992143</v>
      </c>
      <c r="DI139" s="28">
        <v>0.73755499999999996</v>
      </c>
      <c r="DJ139" s="27">
        <v>3.7</v>
      </c>
      <c r="DK139" s="27">
        <v>2.6</v>
      </c>
      <c r="DL139" s="27">
        <v>2.4369778879479467E-2</v>
      </c>
      <c r="DM139" s="27">
        <v>0.69779999999999998</v>
      </c>
      <c r="DN139" s="28">
        <v>0.68400000000000005</v>
      </c>
      <c r="DO139" s="28">
        <v>-9.8220171390902972E-2</v>
      </c>
      <c r="DP139" s="28">
        <f t="shared" si="67"/>
        <v>-2.487423141419793E-2</v>
      </c>
      <c r="DQ139" s="27">
        <v>0.13560000000000005</v>
      </c>
      <c r="DR139" s="27">
        <v>3.802148779895468E-2</v>
      </c>
      <c r="DS139" s="27">
        <v>3.4239891893164551E-2</v>
      </c>
      <c r="DT139" s="27">
        <v>5.0662060808238797E-2</v>
      </c>
      <c r="DU139" s="30">
        <v>9.2708490000000001</v>
      </c>
      <c r="DV139">
        <v>2.2000000000000002</v>
      </c>
      <c r="DW139">
        <v>2.6</v>
      </c>
      <c r="DX139">
        <v>98.8</v>
      </c>
      <c r="DY139">
        <v>96.9</v>
      </c>
      <c r="DZ139">
        <v>1.3</v>
      </c>
      <c r="EA139">
        <v>2.5</v>
      </c>
      <c r="EB139">
        <v>1.1868369999999999</v>
      </c>
    </row>
    <row r="140" spans="1:132" ht="18">
      <c r="A140" s="14" t="s">
        <v>158</v>
      </c>
      <c r="B140" s="14">
        <v>9</v>
      </c>
      <c r="C140" s="14" t="s">
        <v>150</v>
      </c>
      <c r="D140" s="14" t="s">
        <v>159</v>
      </c>
      <c r="E140" s="14" t="s">
        <v>160</v>
      </c>
      <c r="F140" s="15">
        <v>5279</v>
      </c>
      <c r="G140" s="15">
        <v>3.7225516620009587</v>
      </c>
      <c r="H140" s="15">
        <v>5032</v>
      </c>
      <c r="I140" s="15">
        <v>0</v>
      </c>
      <c r="J140" s="16">
        <v>250</v>
      </c>
      <c r="K140" s="16">
        <v>1</v>
      </c>
      <c r="L140" s="17">
        <v>7.8055921101270132E-2</v>
      </c>
      <c r="M140" s="18">
        <v>40</v>
      </c>
      <c r="N140" s="18">
        <v>32</v>
      </c>
      <c r="O140" s="18">
        <v>0.83103205610424913</v>
      </c>
      <c r="P140" s="18">
        <v>1</v>
      </c>
      <c r="Q140" s="18">
        <v>1</v>
      </c>
      <c r="R140" s="18">
        <v>40</v>
      </c>
      <c r="S140" s="18">
        <v>4</v>
      </c>
      <c r="T140" s="19">
        <v>20842</v>
      </c>
      <c r="U140" s="19">
        <v>4.3189393915606704</v>
      </c>
      <c r="V140" s="20"/>
      <c r="W140" s="20"/>
      <c r="X140" s="20">
        <v>0</v>
      </c>
      <c r="Y140" s="20">
        <v>0.3938604651</v>
      </c>
      <c r="Z140" s="20">
        <f t="shared" si="60"/>
        <v>-0.40465761058618122</v>
      </c>
      <c r="AA140" s="20">
        <v>0.5378461189</v>
      </c>
      <c r="AB140" s="20"/>
      <c r="AD140" s="21"/>
      <c r="AE140" s="21"/>
      <c r="AF140" s="21"/>
      <c r="AG140" s="22">
        <v>1.0498144342091645E-3</v>
      </c>
      <c r="AH140" s="22">
        <v>71</v>
      </c>
      <c r="AI140" s="22">
        <v>0.97956592009999999</v>
      </c>
      <c r="AJ140" s="23">
        <v>43298</v>
      </c>
      <c r="AK140" s="23">
        <f t="shared" si="37"/>
        <v>4.636467836098765</v>
      </c>
      <c r="AL140" s="24">
        <v>0.38838678399999998</v>
      </c>
      <c r="AM140" s="22">
        <f>25872+15773</f>
        <v>41645</v>
      </c>
      <c r="AN140" s="22">
        <f t="shared" si="64"/>
        <v>0.61576791707944578</v>
      </c>
      <c r="AO140" s="23">
        <v>8.7453180030933789E-2</v>
      </c>
      <c r="AP140" s="33">
        <v>5.6655500000000005E-4</v>
      </c>
      <c r="AQ140" s="23">
        <v>-1.2467579233344663</v>
      </c>
      <c r="AR140" s="23">
        <v>67631</v>
      </c>
      <c r="AS140" s="23">
        <v>4.8301458090026177</v>
      </c>
      <c r="AT140" s="23">
        <v>4.7640490396789179</v>
      </c>
      <c r="AU140" s="22">
        <v>1.1599999999999999</v>
      </c>
      <c r="AV140" s="22">
        <v>0.74724851839999995</v>
      </c>
      <c r="AW140" s="22">
        <v>25.454999999999998</v>
      </c>
      <c r="AX140" s="22">
        <v>22.861000000000001</v>
      </c>
      <c r="AY140" s="22">
        <v>1</v>
      </c>
      <c r="AZ140" s="24">
        <v>53663</v>
      </c>
      <c r="BA140" s="24">
        <f t="shared" si="61"/>
        <v>4.7296749480046971</v>
      </c>
      <c r="BB140" s="24">
        <v>36184</v>
      </c>
      <c r="BC140" s="24">
        <f t="shared" si="62"/>
        <v>4.5585165747378626</v>
      </c>
      <c r="BD140" s="24">
        <v>17479</v>
      </c>
      <c r="BE140" s="23">
        <v>4693</v>
      </c>
      <c r="BF140" s="22">
        <f t="shared" si="65"/>
        <v>1567</v>
      </c>
      <c r="BG140" s="23">
        <v>2.0102629890955739</v>
      </c>
      <c r="BH140" s="23">
        <v>6.9391255489346604E-2</v>
      </c>
      <c r="BI140" s="23">
        <v>2.6840900091248732E-2</v>
      </c>
      <c r="BJ140" s="23">
        <v>1.9715611283822036E-2</v>
      </c>
      <c r="BK140" s="23">
        <v>1.5852804955662081</v>
      </c>
      <c r="BL140" s="22">
        <v>1559</v>
      </c>
      <c r="BM140" s="22">
        <v>5642</v>
      </c>
      <c r="BN140" s="22">
        <f t="shared" si="66"/>
        <v>438.5</v>
      </c>
      <c r="BO140" s="22">
        <v>3.7514330818193473</v>
      </c>
      <c r="BP140" s="22">
        <v>0.10513761809813092</v>
      </c>
      <c r="BQ140" s="22">
        <v>5.7980693240933939E-4</v>
      </c>
      <c r="BR140" s="22">
        <v>6.0210429127862041E-3</v>
      </c>
      <c r="BS140" s="22">
        <v>-73</v>
      </c>
      <c r="BT140" s="22">
        <v>1.8633228601204559</v>
      </c>
      <c r="BU140" s="22">
        <v>1.0793866717925212E-3</v>
      </c>
      <c r="BV140" s="23">
        <v>1532</v>
      </c>
      <c r="BW140" s="22">
        <v>19418</v>
      </c>
      <c r="BX140" s="22">
        <v>16.86</v>
      </c>
      <c r="BY140" s="22">
        <v>1.2268575702887234</v>
      </c>
      <c r="BZ140" s="25">
        <v>0.13535353535353534</v>
      </c>
      <c r="CA140" s="23">
        <v>5.2225758931015019E-2</v>
      </c>
      <c r="CB140" s="23">
        <v>5.2225758931015021</v>
      </c>
      <c r="CC140" s="23">
        <v>0.71788475975157318</v>
      </c>
      <c r="CD140" s="23">
        <v>0.22768051426072636</v>
      </c>
      <c r="CE140" s="23">
        <v>9.4541820773390697E-2</v>
      </c>
      <c r="CF140" s="23">
        <v>1.4248530646515531</v>
      </c>
      <c r="CG140" s="23">
        <f t="shared" si="63"/>
        <v>0.35406869587892609</v>
      </c>
      <c r="CH140" s="26">
        <v>17.75</v>
      </c>
      <c r="CI140" s="26">
        <v>21.68</v>
      </c>
      <c r="CJ140" s="26">
        <v>1.249198357391113</v>
      </c>
      <c r="CK140" s="26">
        <v>1.3360592778663494</v>
      </c>
      <c r="CL140" s="26">
        <v>-0.18127306273062729</v>
      </c>
      <c r="CM140" s="27">
        <v>23.674061302682002</v>
      </c>
      <c r="CN140" s="27">
        <v>-0.27837903806917774</v>
      </c>
      <c r="CO140" s="27">
        <v>13.172845849802364</v>
      </c>
      <c r="CP140" s="27">
        <v>-0.10311875153058132</v>
      </c>
      <c r="CQ140" s="27">
        <v>93.814615384615436</v>
      </c>
      <c r="CR140" s="27">
        <v>-0.26896460779054171</v>
      </c>
      <c r="CS140" s="27">
        <v>1.0575095785440605</v>
      </c>
      <c r="CT140" s="27">
        <v>1.3546743295019157</v>
      </c>
      <c r="CU140" s="27">
        <v>-0.21936250247475808</v>
      </c>
      <c r="CV140" s="27">
        <v>1.2699233716475098</v>
      </c>
      <c r="CW140" s="27">
        <v>2.1037775160152683</v>
      </c>
      <c r="CX140" s="28">
        <v>0.92</v>
      </c>
      <c r="CY140" s="28">
        <v>1.03</v>
      </c>
      <c r="CZ140" s="29">
        <v>26.404674329999999</v>
      </c>
      <c r="DA140" s="27">
        <v>-0.21369918349816944</v>
      </c>
      <c r="DB140" s="27">
        <v>3.3676575479931978</v>
      </c>
      <c r="DC140" s="27">
        <v>1.4102002336892525</v>
      </c>
      <c r="DD140" s="27">
        <v>3</v>
      </c>
      <c r="DE140" s="28">
        <v>3.44</v>
      </c>
      <c r="DF140" s="28">
        <v>100</v>
      </c>
      <c r="DG140" s="28">
        <v>4.6051701859880918</v>
      </c>
      <c r="DH140" s="28">
        <v>1</v>
      </c>
      <c r="DI140" s="28">
        <v>0.68859899999999996</v>
      </c>
      <c r="DJ140" s="27">
        <v>4.0999999999999996</v>
      </c>
      <c r="DK140" s="27">
        <v>2.5</v>
      </c>
      <c r="DL140" s="27">
        <v>2.4833477735949187E-2</v>
      </c>
      <c r="DM140" s="27">
        <v>0.74709999999999999</v>
      </c>
      <c r="DN140" s="28">
        <v>0.71719999999999995</v>
      </c>
      <c r="DO140" s="28">
        <v>4.8538011695906276E-2</v>
      </c>
      <c r="DP140" s="28">
        <f t="shared" si="67"/>
        <v>7.0650616222413323E-2</v>
      </c>
      <c r="DQ140" s="27">
        <v>0.14990000000000003</v>
      </c>
      <c r="DR140" s="27">
        <v>3.4239891893164551E-2</v>
      </c>
      <c r="DS140" s="27">
        <v>2.4180879115385762E-2</v>
      </c>
      <c r="DT140" s="27">
        <v>3.802148779895468E-2</v>
      </c>
      <c r="DU140" s="30">
        <v>9.6228090000000002</v>
      </c>
      <c r="DV140">
        <v>2.7</v>
      </c>
      <c r="DW140">
        <v>2.9</v>
      </c>
      <c r="DX140">
        <v>100</v>
      </c>
      <c r="DY140">
        <v>100</v>
      </c>
      <c r="DZ140">
        <v>0.2</v>
      </c>
      <c r="EA140">
        <v>2</v>
      </c>
      <c r="EB140">
        <v>1.2855829999999999</v>
      </c>
    </row>
    <row r="141" spans="1:132" ht="18">
      <c r="A141" s="14" t="s">
        <v>158</v>
      </c>
      <c r="B141" s="14">
        <v>10</v>
      </c>
      <c r="C141" s="14" t="s">
        <v>150</v>
      </c>
      <c r="D141" s="14" t="s">
        <v>159</v>
      </c>
      <c r="E141" s="14" t="s">
        <v>160</v>
      </c>
      <c r="F141" s="15">
        <v>9955</v>
      </c>
      <c r="G141" s="15">
        <v>3.9980412643634282</v>
      </c>
      <c r="H141" s="15">
        <v>9730</v>
      </c>
      <c r="I141" s="15">
        <v>0</v>
      </c>
      <c r="J141" s="16">
        <v>226</v>
      </c>
      <c r="K141" s="16">
        <v>1</v>
      </c>
      <c r="L141" s="17">
        <v>0.14029623574841102</v>
      </c>
      <c r="M141" s="18">
        <v>40</v>
      </c>
      <c r="N141" s="18">
        <v>32</v>
      </c>
      <c r="O141" s="18">
        <v>0.83103205610424913</v>
      </c>
      <c r="P141" s="18">
        <v>1</v>
      </c>
      <c r="Q141" s="18">
        <v>1</v>
      </c>
      <c r="R141" s="18">
        <v>40</v>
      </c>
      <c r="S141" s="18">
        <v>4</v>
      </c>
      <c r="T141" s="19">
        <v>9762</v>
      </c>
      <c r="U141" s="19">
        <v>3.9895388033205026</v>
      </c>
      <c r="V141" s="20">
        <v>26440</v>
      </c>
      <c r="W141" s="20">
        <v>4.4222614508136022</v>
      </c>
      <c r="X141" s="20">
        <v>0.567686527106817</v>
      </c>
      <c r="Y141" s="20">
        <v>0.40543608710000001</v>
      </c>
      <c r="Z141" s="20">
        <f t="shared" si="60"/>
        <v>-0.39207759819138066</v>
      </c>
      <c r="AA141" s="20">
        <v>0.51549616149999999</v>
      </c>
      <c r="AB141" s="20"/>
      <c r="AD141" s="21"/>
      <c r="AE141" s="21"/>
      <c r="AF141" s="21"/>
      <c r="AG141" s="22">
        <v>1.0428851276124977E-3</v>
      </c>
      <c r="AH141" s="22">
        <v>74</v>
      </c>
      <c r="AI141" s="22">
        <v>1.0715157340000001</v>
      </c>
      <c r="AJ141" s="23">
        <f>34052+12523</f>
        <v>46575</v>
      </c>
      <c r="AK141" s="23">
        <f t="shared" si="37"/>
        <v>4.6681528635682801</v>
      </c>
      <c r="AL141" s="24">
        <v>0.19526343199999999</v>
      </c>
      <c r="AM141" s="22">
        <f>26810+17104</f>
        <v>43914</v>
      </c>
      <c r="AN141" s="22">
        <f t="shared" si="64"/>
        <v>0.61888185802669227</v>
      </c>
      <c r="AO141" s="23">
        <v>4.3865263831659798E-2</v>
      </c>
      <c r="AP141" s="33">
        <v>2.2544279E-2</v>
      </c>
      <c r="AQ141" s="23">
        <v>0.35303635047299414</v>
      </c>
      <c r="AR141" s="23">
        <v>70957</v>
      </c>
      <c r="AS141" s="23">
        <v>4.8509952456203482</v>
      </c>
      <c r="AT141" s="23">
        <v>4.8301458090026177</v>
      </c>
      <c r="AU141" s="22">
        <v>1.1819999999999999</v>
      </c>
      <c r="AV141" s="22">
        <v>0.75176570649999996</v>
      </c>
      <c r="AW141" s="22">
        <v>28.977</v>
      </c>
      <c r="AX141" s="22">
        <v>25.454999999999998</v>
      </c>
      <c r="AY141" s="22">
        <v>1</v>
      </c>
      <c r="AZ141" s="24">
        <v>49994</v>
      </c>
      <c r="BA141" s="24">
        <f t="shared" si="61"/>
        <v>4.6989178858710199</v>
      </c>
      <c r="BB141" s="24">
        <v>39607</v>
      </c>
      <c r="BC141" s="24">
        <f t="shared" si="62"/>
        <v>4.5977719483677522</v>
      </c>
      <c r="BD141" s="24">
        <v>10387</v>
      </c>
      <c r="BE141" s="23">
        <v>2193</v>
      </c>
      <c r="BF141" s="22">
        <f t="shared" si="65"/>
        <v>1250</v>
      </c>
      <c r="BG141" s="23">
        <v>-0.53270828894097588</v>
      </c>
      <c r="BH141" s="23">
        <v>3.090604168721902E-2</v>
      </c>
      <c r="BI141" s="23">
        <v>6.9391255489346604E-2</v>
      </c>
      <c r="BJ141" s="23">
        <v>1.9715611283822036E-2</v>
      </c>
      <c r="BK141" s="23">
        <v>-0.55461186760104209</v>
      </c>
      <c r="BL141" s="23">
        <v>4693</v>
      </c>
      <c r="BM141" s="22">
        <v>2100</v>
      </c>
      <c r="BN141" s="22">
        <f t="shared" si="66"/>
        <v>1771</v>
      </c>
      <c r="BO141" s="22">
        <v>3.3222192947339191</v>
      </c>
      <c r="BP141" s="22">
        <v>4.2005040604872583E-2</v>
      </c>
      <c r="BQ141" s="22">
        <v>3.156628874662918E-2</v>
      </c>
      <c r="BR141" s="22">
        <v>5.7980693240933939E-4</v>
      </c>
      <c r="BS141" s="22">
        <v>-3353</v>
      </c>
      <c r="BT141" s="22">
        <v>3.5254335534288201</v>
      </c>
      <c r="BU141" s="22">
        <v>4.7253970714658172E-2</v>
      </c>
      <c r="BV141" s="23">
        <v>7999</v>
      </c>
      <c r="BW141" s="22">
        <v>20330</v>
      </c>
      <c r="BX141" s="22">
        <v>20.11</v>
      </c>
      <c r="BY141" s="22">
        <v>1.303412070596742</v>
      </c>
      <c r="BZ141" s="25">
        <v>0.19276393831553976</v>
      </c>
      <c r="CA141" s="23">
        <v>9.4541820773390697E-2</v>
      </c>
      <c r="CB141" s="23">
        <v>9.4541820773390697</v>
      </c>
      <c r="CC141" s="23">
        <v>0.97562396209024826</v>
      </c>
      <c r="CD141" s="23">
        <v>5.2225758931015019E-2</v>
      </c>
      <c r="CE141" s="23">
        <v>0.12394112423341876</v>
      </c>
      <c r="CF141" s="23">
        <v>1.438752783964365</v>
      </c>
      <c r="CG141" s="23">
        <f t="shared" si="63"/>
        <v>0.36377661604034739</v>
      </c>
      <c r="CH141" s="26">
        <v>23.4</v>
      </c>
      <c r="CI141" s="26">
        <v>17.75</v>
      </c>
      <c r="CJ141" s="26">
        <v>1.3692158574101427</v>
      </c>
      <c r="CK141" s="26">
        <v>1.249198357391113</v>
      </c>
      <c r="CL141" s="26">
        <v>0.31830985915492949</v>
      </c>
      <c r="CM141" s="27">
        <v>25.275999999999993</v>
      </c>
      <c r="CN141" s="27">
        <v>6.7666408261623831E-2</v>
      </c>
      <c r="CO141" s="27">
        <v>14.393934426229498</v>
      </c>
      <c r="CP141" s="27">
        <v>9.2697401180433139E-2</v>
      </c>
      <c r="CQ141" s="27">
        <v>94.493822393822356</v>
      </c>
      <c r="CR141" s="27">
        <v>7.2398848134946573E-3</v>
      </c>
      <c r="CS141" s="27">
        <v>1.0720384615384604</v>
      </c>
      <c r="CT141" s="27">
        <v>1.0575095785440605</v>
      </c>
      <c r="CU141" s="27">
        <v>1.37387720065881E-2</v>
      </c>
      <c r="CV141" s="27">
        <v>1.268846153846154</v>
      </c>
      <c r="CW141" s="27">
        <v>2.1034089675745258</v>
      </c>
      <c r="CX141" s="28">
        <v>0.92</v>
      </c>
      <c r="CY141" s="28">
        <v>0.92</v>
      </c>
      <c r="CZ141" s="29">
        <v>29.99596154</v>
      </c>
      <c r="DA141" s="27">
        <v>0.13600952487112158</v>
      </c>
      <c r="DB141" s="27">
        <v>1.9709466682529033</v>
      </c>
      <c r="DC141" s="27">
        <v>3.3676575479931978</v>
      </c>
      <c r="DD141" s="27">
        <v>3</v>
      </c>
      <c r="DE141" s="28">
        <v>4.05</v>
      </c>
      <c r="DF141" s="28">
        <v>100.084711</v>
      </c>
      <c r="DG141" s="28">
        <v>4.6060169373929138</v>
      </c>
      <c r="DH141" s="28">
        <v>1.0115620000000001</v>
      </c>
      <c r="DI141" s="28">
        <v>0.73416199999999998</v>
      </c>
      <c r="DJ141" s="27">
        <v>5.4</v>
      </c>
      <c r="DK141" s="27">
        <v>2.7</v>
      </c>
      <c r="DL141" s="27">
        <v>1.6688062333233E-2</v>
      </c>
      <c r="DM141" s="27">
        <v>0.77139999999999997</v>
      </c>
      <c r="DN141" s="28">
        <v>0.69699999999999995</v>
      </c>
      <c r="DO141" s="28">
        <v>-2.8165086447295033E-2</v>
      </c>
      <c r="DP141" s="28">
        <f>(DM141-DM140)/DM140</f>
        <v>3.2525766296345855E-2</v>
      </c>
      <c r="DQ141" s="27">
        <v>0.10270000000000001</v>
      </c>
      <c r="DR141" s="27">
        <v>2.4180879115385762E-2</v>
      </c>
      <c r="DS141" s="27">
        <v>2.0079372103467861E-2</v>
      </c>
      <c r="DT141" s="27">
        <v>3.4239891893164551E-2</v>
      </c>
      <c r="DU141" s="30">
        <v>8.9420310000000001</v>
      </c>
      <c r="DV141">
        <v>2.2000000000000002</v>
      </c>
      <c r="DW141">
        <v>2.4</v>
      </c>
      <c r="DX141">
        <v>102.1</v>
      </c>
      <c r="DY141">
        <v>102.1</v>
      </c>
      <c r="DZ141">
        <v>0.9</v>
      </c>
      <c r="EA141">
        <v>0.7</v>
      </c>
      <c r="EB141">
        <v>1.494866</v>
      </c>
    </row>
    <row r="142" spans="1:132" ht="18">
      <c r="A142" s="14" t="s">
        <v>158</v>
      </c>
      <c r="B142" s="14">
        <v>11</v>
      </c>
      <c r="C142" s="14" t="s">
        <v>150</v>
      </c>
      <c r="D142" s="14" t="s">
        <v>159</v>
      </c>
      <c r="E142" s="14" t="s">
        <v>160</v>
      </c>
      <c r="F142" s="15">
        <v>4743</v>
      </c>
      <c r="G142" s="15">
        <v>3.6760531246518715</v>
      </c>
      <c r="H142" s="15">
        <v>4518</v>
      </c>
      <c r="I142" s="15">
        <v>0</v>
      </c>
      <c r="J142" s="16">
        <v>225</v>
      </c>
      <c r="K142" s="16">
        <v>1</v>
      </c>
      <c r="L142" s="17">
        <v>7.3058024368078123E-2</v>
      </c>
      <c r="M142" s="18">
        <v>40</v>
      </c>
      <c r="N142" s="18">
        <v>32</v>
      </c>
      <c r="O142" s="18">
        <v>0.83103205610424913</v>
      </c>
      <c r="P142" s="18">
        <v>1</v>
      </c>
      <c r="Q142" s="18">
        <v>1</v>
      </c>
      <c r="R142" s="18">
        <v>40</v>
      </c>
      <c r="S142" s="18">
        <v>4</v>
      </c>
      <c r="T142" s="19">
        <v>12730</v>
      </c>
      <c r="U142" s="19">
        <v>4.1048284036536558</v>
      </c>
      <c r="V142" s="20">
        <v>9936</v>
      </c>
      <c r="W142" s="20">
        <v>3.997211582832505</v>
      </c>
      <c r="X142" s="20">
        <v>0.33136568284142071</v>
      </c>
      <c r="Y142" s="20">
        <v>0.44023268310000002</v>
      </c>
      <c r="Z142" s="20">
        <f t="shared" si="60"/>
        <v>-0.35631771834087117</v>
      </c>
      <c r="AA142" s="20">
        <v>0.78439624470000002</v>
      </c>
      <c r="AB142" s="20"/>
      <c r="AD142" s="21"/>
      <c r="AE142" s="21"/>
      <c r="AF142" s="21"/>
      <c r="AG142" s="22">
        <v>1.2784769181004606E-3</v>
      </c>
      <c r="AH142" s="22">
        <v>83</v>
      </c>
      <c r="AI142" s="22">
        <v>0.71378812020000004</v>
      </c>
      <c r="AJ142" s="22">
        <v>29985</v>
      </c>
      <c r="AK142" s="23">
        <f t="shared" si="37"/>
        <v>4.476904053173798</v>
      </c>
      <c r="AL142" s="24">
        <v>0.222579686</v>
      </c>
      <c r="AM142" s="22">
        <f>24139+13310</f>
        <v>37449</v>
      </c>
      <c r="AN142" s="22">
        <f t="shared" si="64"/>
        <v>0.57683954344511024</v>
      </c>
      <c r="AO142" s="23">
        <v>3.601839385938839E-2</v>
      </c>
      <c r="AP142" s="33">
        <v>1.6723691999999998E-2</v>
      </c>
      <c r="AQ142" s="23">
        <v>0.22333216055667346</v>
      </c>
      <c r="AR142" s="22">
        <v>64921</v>
      </c>
      <c r="AS142" s="23">
        <v>4.8123852007897012</v>
      </c>
      <c r="AT142" s="23">
        <v>4.8509952456203482</v>
      </c>
      <c r="AU142" s="22">
        <v>0.82</v>
      </c>
      <c r="AV142" s="22">
        <v>0.70737762630000001</v>
      </c>
      <c r="AW142" s="22">
        <v>19.263000000000002</v>
      </c>
      <c r="AX142" s="22">
        <v>28.977</v>
      </c>
      <c r="AY142" s="22">
        <v>1</v>
      </c>
      <c r="AZ142" s="24">
        <v>57193</v>
      </c>
      <c r="BA142" s="24">
        <f t="shared" si="61"/>
        <v>4.757342877614593</v>
      </c>
      <c r="BB142" s="24">
        <v>44471</v>
      </c>
      <c r="BC142" s="24">
        <f t="shared" si="62"/>
        <v>4.6480768953495186</v>
      </c>
      <c r="BD142" s="24">
        <v>12722</v>
      </c>
      <c r="BE142" s="22">
        <v>2060</v>
      </c>
      <c r="BF142" s="22">
        <f t="shared" si="65"/>
        <v>66.5</v>
      </c>
      <c r="BG142" s="23">
        <v>-6.064751481988144E-2</v>
      </c>
      <c r="BH142" s="23">
        <v>3.1730872907071675E-2</v>
      </c>
      <c r="BI142" s="23">
        <v>3.090604168721902E-2</v>
      </c>
      <c r="BJ142" s="23">
        <v>1.9715611283822036E-2</v>
      </c>
      <c r="BK142" s="23">
        <v>2.6688348776600476E-2</v>
      </c>
      <c r="BL142" s="23">
        <v>2193</v>
      </c>
      <c r="BM142" s="22">
        <v>5911</v>
      </c>
      <c r="BN142" s="22">
        <f t="shared" si="66"/>
        <v>1905.5</v>
      </c>
      <c r="BO142" s="22">
        <v>3.7716609593488872</v>
      </c>
      <c r="BP142" s="22">
        <v>0.10335180878778871</v>
      </c>
      <c r="BQ142" s="22">
        <v>3.0673384091458058E-2</v>
      </c>
      <c r="BR142" s="22">
        <v>3.156628874662918E-2</v>
      </c>
      <c r="BS142" s="22">
        <v>-2885</v>
      </c>
      <c r="BT142" s="22">
        <v>3.4601458174917501</v>
      </c>
      <c r="BU142" s="22">
        <v>4.4438625406262998E-2</v>
      </c>
      <c r="BV142" s="23">
        <v>2249</v>
      </c>
      <c r="BW142" s="22">
        <v>19090</v>
      </c>
      <c r="BX142" s="22">
        <v>14.33</v>
      </c>
      <c r="BY142" s="22">
        <v>1.1562461903973444</v>
      </c>
      <c r="BZ142" s="25">
        <v>-0.28741919443063152</v>
      </c>
      <c r="CA142" s="23">
        <v>0.12394112423341876</v>
      </c>
      <c r="CB142" s="23">
        <v>12.394112423341875</v>
      </c>
      <c r="CC142" s="23">
        <v>1.0932154311888072</v>
      </c>
      <c r="CD142" s="23">
        <v>9.4541820773390697E-2</v>
      </c>
      <c r="CE142" s="23">
        <v>0.14208317737671516</v>
      </c>
      <c r="CF142" s="23">
        <v>2.1262683201803836</v>
      </c>
      <c r="CG142" s="23">
        <f t="shared" si="63"/>
        <v>0.75436848088382347</v>
      </c>
      <c r="CH142" s="26">
        <v>18.02</v>
      </c>
      <c r="CI142" s="26">
        <v>23.4</v>
      </c>
      <c r="CJ142" s="26">
        <v>1.2557547866430441</v>
      </c>
      <c r="CK142" s="26">
        <v>1.3692158574101427</v>
      </c>
      <c r="CL142" s="26">
        <v>-0.22991452991452987</v>
      </c>
      <c r="CM142" s="27">
        <v>18.608429118773955</v>
      </c>
      <c r="CN142" s="27">
        <v>-0.26379058716672099</v>
      </c>
      <c r="CO142" s="27">
        <v>10.244782608695646</v>
      </c>
      <c r="CP142" s="27">
        <v>-0.28825696259759365</v>
      </c>
      <c r="CQ142" s="27">
        <v>71.254230769230816</v>
      </c>
      <c r="CR142" s="27">
        <v>-0.24593768180670883</v>
      </c>
      <c r="CS142" s="27">
        <v>0.83494252873563157</v>
      </c>
      <c r="CT142" s="27">
        <v>1.0720384615384604</v>
      </c>
      <c r="CU142" s="27">
        <v>-0.22116364413136569</v>
      </c>
      <c r="CV142" s="27">
        <v>0.95088122605364045</v>
      </c>
      <c r="CW142" s="27">
        <v>1.9781262728880398</v>
      </c>
      <c r="CX142" s="28">
        <v>0.54</v>
      </c>
      <c r="CY142" s="28">
        <v>0.92</v>
      </c>
      <c r="CZ142" s="29">
        <v>24.56237548</v>
      </c>
      <c r="DA142" s="27">
        <v>-0.18114392008251654</v>
      </c>
      <c r="DB142" s="27">
        <v>1.7682050254071211</v>
      </c>
      <c r="DC142" s="27">
        <v>1.9709466682529033</v>
      </c>
      <c r="DD142" s="27">
        <v>3</v>
      </c>
      <c r="DE142" s="28">
        <v>5.28</v>
      </c>
      <c r="DF142" s="28">
        <v>100.319357</v>
      </c>
      <c r="DG142" s="28">
        <v>4.6083586673744366</v>
      </c>
      <c r="DH142" s="28">
        <v>1.0245059999999999</v>
      </c>
      <c r="DI142" s="28">
        <v>0.75403299999999995</v>
      </c>
      <c r="DJ142" s="27">
        <v>5.6</v>
      </c>
      <c r="DK142" s="27">
        <v>1.9</v>
      </c>
      <c r="DL142" s="27">
        <v>1.6829215601661535E-2</v>
      </c>
      <c r="DM142" s="27">
        <v>0.75800000000000001</v>
      </c>
      <c r="DN142" s="28">
        <v>0.74839999999999995</v>
      </c>
      <c r="DO142" s="28">
        <v>7.3744619799139169E-2</v>
      </c>
      <c r="DP142" s="28">
        <f t="shared" si="67"/>
        <v>-1.7371013741249636E-2</v>
      </c>
      <c r="DQ142" s="27">
        <v>8.4699999999999998E-2</v>
      </c>
      <c r="DR142" s="27">
        <v>2.0079372103467861E-2</v>
      </c>
      <c r="DS142" s="27">
        <v>1.50675227484701E-2</v>
      </c>
      <c r="DT142" s="27">
        <v>2.4180879115385762E-2</v>
      </c>
      <c r="DU142" s="30">
        <v>8.0652849999999994</v>
      </c>
      <c r="DV142">
        <v>0.9</v>
      </c>
      <c r="DW142">
        <v>1.4</v>
      </c>
      <c r="DX142">
        <v>103.9</v>
      </c>
      <c r="DY142">
        <v>103.8</v>
      </c>
      <c r="DZ142">
        <v>0.1</v>
      </c>
      <c r="EA142">
        <v>0</v>
      </c>
      <c r="EB142">
        <v>1.826854</v>
      </c>
    </row>
    <row r="143" spans="1:132" ht="18">
      <c r="A143" s="14" t="s">
        <v>158</v>
      </c>
      <c r="B143" s="14">
        <v>12</v>
      </c>
      <c r="C143" s="14" t="s">
        <v>150</v>
      </c>
      <c r="D143" s="14" t="s">
        <v>159</v>
      </c>
      <c r="E143" s="14" t="s">
        <v>160</v>
      </c>
      <c r="F143" s="15">
        <v>5627</v>
      </c>
      <c r="G143" s="15">
        <v>3.7502769151539925</v>
      </c>
      <c r="H143" s="15">
        <v>5469</v>
      </c>
      <c r="I143" s="15">
        <v>0</v>
      </c>
      <c r="J143" s="16">
        <v>158</v>
      </c>
      <c r="K143" s="16">
        <v>1</v>
      </c>
      <c r="L143" s="17">
        <v>0.10130160044646876</v>
      </c>
      <c r="M143" s="18">
        <v>40</v>
      </c>
      <c r="N143" s="18">
        <v>32</v>
      </c>
      <c r="O143" s="18">
        <v>0.83103205610424913</v>
      </c>
      <c r="P143" s="18">
        <v>1</v>
      </c>
      <c r="Q143" s="18">
        <v>1</v>
      </c>
      <c r="R143" s="18">
        <v>40</v>
      </c>
      <c r="S143" s="18">
        <v>4</v>
      </c>
      <c r="T143" s="19">
        <v>8511</v>
      </c>
      <c r="U143" s="19">
        <v>3.9299805905155147</v>
      </c>
      <c r="V143" s="20">
        <v>5774</v>
      </c>
      <c r="W143" s="20">
        <v>3.7614767795447017</v>
      </c>
      <c r="X143" s="20">
        <v>0.19058621600211248</v>
      </c>
      <c r="Y143" s="20">
        <v>0.55470321339999995</v>
      </c>
      <c r="Z143" s="20">
        <f t="shared" si="60"/>
        <v>-0.25593931824258892</v>
      </c>
      <c r="AA143" s="20">
        <v>0.80428236870000003</v>
      </c>
      <c r="AB143" s="20"/>
      <c r="AD143" s="21"/>
      <c r="AE143" s="21"/>
      <c r="AF143" s="21"/>
      <c r="AG143" s="22">
        <v>1.58424397357193E-3</v>
      </c>
      <c r="AH143" s="22">
        <v>88</v>
      </c>
      <c r="AI143" s="22">
        <v>0.86925318760000003</v>
      </c>
      <c r="AJ143" s="22">
        <v>30296</v>
      </c>
      <c r="AK143" s="23">
        <f t="shared" si="37"/>
        <v>4.4813852921127699</v>
      </c>
      <c r="AL143" s="24">
        <v>0.18466445400000001</v>
      </c>
      <c r="AM143" s="22">
        <f>14721+13376</f>
        <v>28097</v>
      </c>
      <c r="AN143" s="22">
        <f t="shared" si="64"/>
        <v>0.50582389688011953</v>
      </c>
      <c r="AO143" s="23">
        <v>4.2309444769901708E-3</v>
      </c>
      <c r="AP143" s="33">
        <v>7.2558978999999996E-2</v>
      </c>
      <c r="AQ143" s="23">
        <v>0.86069116300207027</v>
      </c>
      <c r="AR143" s="22">
        <v>55547</v>
      </c>
      <c r="AS143" s="23">
        <v>4.7446606083960878</v>
      </c>
      <c r="AT143" s="23">
        <v>4.8123852007897012</v>
      </c>
      <c r="AU143" s="22">
        <v>0.73399999999999999</v>
      </c>
      <c r="AV143" s="22">
        <v>0.51704918030000002</v>
      </c>
      <c r="AW143" s="22">
        <v>23.861000000000001</v>
      </c>
      <c r="AX143" s="22">
        <v>19.263000000000002</v>
      </c>
      <c r="AY143" s="22">
        <v>1</v>
      </c>
      <c r="AZ143" s="24">
        <v>46089</v>
      </c>
      <c r="BA143" s="24">
        <f t="shared" si="61"/>
        <v>4.6635972852737213</v>
      </c>
      <c r="BB143" s="24">
        <v>38439</v>
      </c>
      <c r="BC143" s="24">
        <f t="shared" si="62"/>
        <v>4.5847720808661485</v>
      </c>
      <c r="BD143" s="24">
        <v>7650</v>
      </c>
      <c r="BE143" s="22">
        <v>195</v>
      </c>
      <c r="BF143" s="22">
        <f t="shared" si="65"/>
        <v>932.5</v>
      </c>
      <c r="BG143" s="23">
        <v>-0.90533980582524276</v>
      </c>
      <c r="BH143" s="23">
        <v>3.5105406232559815E-3</v>
      </c>
      <c r="BI143" s="23">
        <v>3.1730872907071675E-2</v>
      </c>
      <c r="BJ143" s="23">
        <v>1.9715611283822036E-2</v>
      </c>
      <c r="BK143" s="23">
        <v>-0.88936514184349436</v>
      </c>
      <c r="BL143" s="22">
        <v>2060</v>
      </c>
      <c r="BM143" s="22">
        <v>2566</v>
      </c>
      <c r="BN143" s="22">
        <f t="shared" si="66"/>
        <v>1672.5</v>
      </c>
      <c r="BO143" s="22">
        <v>3.4092566520389096</v>
      </c>
      <c r="BP143" s="22">
        <v>5.5674889886957846E-2</v>
      </c>
      <c r="BQ143" s="22">
        <v>2.3838459450415433E-2</v>
      </c>
      <c r="BR143" s="22">
        <v>3.0673384091458058E-2</v>
      </c>
      <c r="BS143" s="22">
        <v>-2067</v>
      </c>
      <c r="BT143" s="22">
        <v>3.3153404766272883</v>
      </c>
      <c r="BU143" s="22">
        <v>3.72117306065134E-2</v>
      </c>
      <c r="BV143" s="23">
        <v>3675</v>
      </c>
      <c r="BW143" s="22">
        <v>14193</v>
      </c>
      <c r="BX143" s="22">
        <v>17.97</v>
      </c>
      <c r="BY143" s="22">
        <v>1.2545480771089739</v>
      </c>
      <c r="BZ143" s="25">
        <v>0.25401256106071168</v>
      </c>
      <c r="CA143" s="23">
        <v>0.14208317737671516</v>
      </c>
      <c r="CB143" s="23">
        <v>14.208317737671516</v>
      </c>
      <c r="CC143" s="23">
        <v>1.1525426605808153</v>
      </c>
      <c r="CD143" s="23">
        <v>0.12394112423341876</v>
      </c>
      <c r="CE143" s="23">
        <v>0.13685464176777343</v>
      </c>
      <c r="CF143" s="23">
        <v>1.3632750397456279</v>
      </c>
      <c r="CG143" s="23">
        <f t="shared" si="63"/>
        <v>0.3098899223396544</v>
      </c>
      <c r="CH143" s="26">
        <v>13.72</v>
      </c>
      <c r="CI143" s="26">
        <v>18.02</v>
      </c>
      <c r="CJ143" s="26">
        <v>1.1373541113707328</v>
      </c>
      <c r="CK143" s="26">
        <v>1.2557547866430441</v>
      </c>
      <c r="CL143" s="26">
        <v>-0.23862375138734734</v>
      </c>
      <c r="CM143" s="27">
        <v>14.834099616858232</v>
      </c>
      <c r="CN143" s="27">
        <v>-0.20282902322516949</v>
      </c>
      <c r="CO143" s="27">
        <v>8.3248809523809495</v>
      </c>
      <c r="CP143" s="27">
        <v>-0.18740286930882333</v>
      </c>
      <c r="CQ143" s="27">
        <v>73.031538461538446</v>
      </c>
      <c r="CR143" s="27">
        <v>2.494318825872599E-2</v>
      </c>
      <c r="CS143" s="27">
        <v>0.8023754789272034</v>
      </c>
      <c r="CT143" s="27">
        <v>0.83494252873563157</v>
      </c>
      <c r="CU143" s="27">
        <v>-3.9005139500733109E-2</v>
      </c>
      <c r="CV143" s="27">
        <v>0.96896551724137914</v>
      </c>
      <c r="CW143" s="27">
        <v>1.9863083220061237</v>
      </c>
      <c r="CX143" s="28">
        <v>0.62</v>
      </c>
      <c r="CY143" s="28">
        <v>0.54</v>
      </c>
      <c r="CZ143" s="29">
        <v>18.565019159999999</v>
      </c>
      <c r="DA143" s="27">
        <v>-0.24416841623821645</v>
      </c>
      <c r="DB143" s="27">
        <v>1.1698744465812936</v>
      </c>
      <c r="DC143" s="27">
        <v>1.7682050254071211</v>
      </c>
      <c r="DD143" s="27">
        <v>3</v>
      </c>
      <c r="DE143" s="28">
        <v>4.34</v>
      </c>
      <c r="DF143" s="28">
        <v>100.993267</v>
      </c>
      <c r="DG143" s="28">
        <v>4.6150538512528216</v>
      </c>
      <c r="DH143" s="28">
        <v>1.037388</v>
      </c>
      <c r="DI143" s="28">
        <v>0.81337400000000004</v>
      </c>
      <c r="DJ143" s="27">
        <v>3.9</v>
      </c>
      <c r="DK143" s="27">
        <v>1.3</v>
      </c>
      <c r="DL143" s="27">
        <v>1.2152522197973097E-2</v>
      </c>
      <c r="DM143" s="27">
        <v>0.72770000000000001</v>
      </c>
      <c r="DN143" s="28">
        <v>0.77380000000000004</v>
      </c>
      <c r="DO143" s="28">
        <v>3.3939070016034328E-2</v>
      </c>
      <c r="DP143" s="28">
        <f>(DM143-DM142)/DM142</f>
        <v>-3.9973614775725586E-2</v>
      </c>
      <c r="DQ143" s="27">
        <v>5.8499999999999996E-2</v>
      </c>
      <c r="DR143" s="27">
        <v>1.50675227484701E-2</v>
      </c>
      <c r="DS143" s="27">
        <v>3.1335239457349999E-2</v>
      </c>
      <c r="DT143" s="27">
        <v>2.0079372103467861E-2</v>
      </c>
      <c r="DU143" s="30">
        <v>7.3719619999999999</v>
      </c>
      <c r="DV143">
        <v>1.5</v>
      </c>
      <c r="DW143">
        <v>2.1</v>
      </c>
      <c r="DX143">
        <v>105.4</v>
      </c>
      <c r="DY143">
        <v>105.7</v>
      </c>
      <c r="DZ143">
        <v>0.2</v>
      </c>
      <c r="EA143">
        <v>0.8</v>
      </c>
      <c r="EB143">
        <v>1.343728</v>
      </c>
    </row>
    <row r="144" spans="1:132" ht="18">
      <c r="A144" s="14" t="s">
        <v>158</v>
      </c>
      <c r="B144" s="14">
        <v>13</v>
      </c>
      <c r="C144" s="14" t="s">
        <v>150</v>
      </c>
      <c r="D144" s="14" t="s">
        <v>159</v>
      </c>
      <c r="E144" s="14" t="s">
        <v>160</v>
      </c>
      <c r="F144" s="15">
        <v>6000</v>
      </c>
      <c r="G144" s="15">
        <v>3.7781512503836434</v>
      </c>
      <c r="I144" s="15">
        <v>0</v>
      </c>
      <c r="J144" s="16"/>
      <c r="K144" s="16"/>
      <c r="L144" s="17">
        <v>0.11563144404401704</v>
      </c>
      <c r="M144" s="18">
        <v>40</v>
      </c>
      <c r="N144" s="18">
        <v>32</v>
      </c>
      <c r="O144" s="18">
        <v>0.83103205610424913</v>
      </c>
      <c r="P144" s="18">
        <v>1</v>
      </c>
      <c r="Q144" s="18">
        <v>1</v>
      </c>
      <c r="R144" s="18">
        <v>40</v>
      </c>
      <c r="S144" s="18">
        <v>4</v>
      </c>
      <c r="T144" s="19">
        <v>8460</v>
      </c>
      <c r="U144" s="19">
        <v>3.9273703630390235</v>
      </c>
      <c r="V144" s="20">
        <v>5920</v>
      </c>
      <c r="W144" s="20">
        <v>3.77232170672292</v>
      </c>
      <c r="X144" s="20">
        <v>0.24373173041294413</v>
      </c>
      <c r="Y144" s="20">
        <v>0.59976272190000002</v>
      </c>
      <c r="Z144" s="20">
        <f t="shared" si="60"/>
        <v>-0.22202053120111309</v>
      </c>
      <c r="AA144" s="20">
        <v>0.83751763050000005</v>
      </c>
      <c r="AB144" s="20"/>
      <c r="AD144" s="21"/>
      <c r="AE144" s="21"/>
      <c r="AF144" s="21"/>
      <c r="AG144" s="22">
        <v>1.676655938638247E-3</v>
      </c>
      <c r="AH144" s="22">
        <v>87</v>
      </c>
      <c r="AI144" s="22">
        <v>0.74554237410000002</v>
      </c>
      <c r="AJ144" s="22">
        <v>24289</v>
      </c>
      <c r="AK144" s="23">
        <f t="shared" ref="AK144:AK207" si="68">LOG(AJ144)</f>
        <v>4.3854096348783322</v>
      </c>
      <c r="AL144" s="24">
        <v>0.18620826300000001</v>
      </c>
      <c r="AM144" s="22">
        <f>13492+10243</f>
        <v>23735</v>
      </c>
      <c r="AN144" s="22">
        <f t="shared" si="64"/>
        <v>0.45741872073079071</v>
      </c>
      <c r="AO144" s="23">
        <v>3.5480817907688242E-2</v>
      </c>
      <c r="AP144" s="33">
        <v>7.1126720000000004E-2</v>
      </c>
      <c r="AQ144" s="23">
        <v>0.8520327817226625</v>
      </c>
      <c r="AR144" s="22">
        <v>51889</v>
      </c>
      <c r="AS144" s="23">
        <v>4.7150753010925621</v>
      </c>
      <c r="AT144" s="23">
        <v>4.7446606083960878</v>
      </c>
      <c r="AU144" s="22">
        <v>0.626</v>
      </c>
      <c r="AV144" s="22">
        <v>0.4076152589</v>
      </c>
      <c r="AW144" s="22">
        <v>20.99</v>
      </c>
      <c r="AX144" s="22">
        <v>23.861000000000001</v>
      </c>
      <c r="AY144" s="22">
        <v>1</v>
      </c>
      <c r="AZ144" s="24">
        <v>45433</v>
      </c>
      <c r="BA144" s="24">
        <f t="shared" si="61"/>
        <v>4.6573714147901759</v>
      </c>
      <c r="BB144" s="24">
        <v>38254</v>
      </c>
      <c r="BC144" s="24">
        <f t="shared" si="62"/>
        <v>4.5826768535314955</v>
      </c>
      <c r="BD144" s="24">
        <v>7179</v>
      </c>
      <c r="BE144" s="22">
        <v>1612</v>
      </c>
      <c r="BF144" s="22">
        <f t="shared" si="65"/>
        <v>708.5</v>
      </c>
      <c r="BG144" s="23">
        <v>7.2666666666666666</v>
      </c>
      <c r="BH144" s="23">
        <v>3.1066314633159245E-2</v>
      </c>
      <c r="BI144" s="23">
        <v>3.5105406232559815E-3</v>
      </c>
      <c r="BJ144" s="23">
        <v>1.9715611283822036E-2</v>
      </c>
      <c r="BK144" s="23">
        <v>7.8494388662979313</v>
      </c>
      <c r="BL144" s="22">
        <v>195</v>
      </c>
      <c r="BM144" s="22">
        <v>3183</v>
      </c>
      <c r="BN144" s="22">
        <f>STDEVP(BM143:BM144)</f>
        <v>308.5</v>
      </c>
      <c r="BO144" s="22">
        <v>3.502836638621003</v>
      </c>
      <c r="BP144" s="22">
        <v>7.0059208064622625E-2</v>
      </c>
      <c r="BQ144" s="22">
        <v>7.1921590888323894E-3</v>
      </c>
      <c r="BR144" s="22">
        <v>2.3838459450415433E-2</v>
      </c>
      <c r="BS144" s="22">
        <v>596</v>
      </c>
      <c r="BT144" s="22" t="e">
        <v>#NUM!</v>
      </c>
      <c r="BU144" s="22">
        <v>-1.1486056775039026E-2</v>
      </c>
      <c r="BV144" s="23">
        <v>4856</v>
      </c>
      <c r="BW144" s="22">
        <v>11476</v>
      </c>
      <c r="BX144" s="22">
        <v>15.55</v>
      </c>
      <c r="BY144" s="22">
        <v>1.1917303933628562</v>
      </c>
      <c r="BZ144" s="25">
        <v>-0.13466889259877565</v>
      </c>
      <c r="CA144" s="23">
        <v>0.13685464176777343</v>
      </c>
      <c r="CB144" s="23">
        <v>13.685464176777343</v>
      </c>
      <c r="CC144" s="23">
        <v>1.1362595321805073</v>
      </c>
      <c r="CD144" s="23">
        <v>0.14208317737671516</v>
      </c>
      <c r="CE144" s="23">
        <v>0.19670181</v>
      </c>
      <c r="CF144" s="23">
        <v>1.3179886685552409</v>
      </c>
      <c r="CG144" s="23">
        <f t="shared" si="63"/>
        <v>0.27610683858906343</v>
      </c>
      <c r="CH144" s="26">
        <v>19.2</v>
      </c>
      <c r="CI144" s="26">
        <v>13.72</v>
      </c>
      <c r="CJ144" s="26">
        <v>1.2833012287035497</v>
      </c>
      <c r="CK144" s="26">
        <v>1.1373541113707328</v>
      </c>
      <c r="CL144" s="26">
        <v>0.39941690962099113</v>
      </c>
      <c r="CM144" s="27">
        <v>14.883180076628348</v>
      </c>
      <c r="CN144" s="27">
        <v>3.3086241186042575E-3</v>
      </c>
      <c r="CO144" s="27">
        <v>6.9159523809523806</v>
      </c>
      <c r="CP144" s="27">
        <v>-0.16924308941926786</v>
      </c>
      <c r="CQ144" s="27">
        <v>64.583076923076902</v>
      </c>
      <c r="CR144" s="27">
        <v>-0.11568237115682381</v>
      </c>
      <c r="CS144" s="27">
        <v>0.66574712643678124</v>
      </c>
      <c r="CT144" s="27">
        <v>0.8023754789272034</v>
      </c>
      <c r="CU144" s="27">
        <v>-0.1702798204564997</v>
      </c>
      <c r="CV144" s="27">
        <v>0.67685823754789287</v>
      </c>
      <c r="CW144" s="27">
        <v>1.8304977187626064</v>
      </c>
      <c r="CX144" s="28">
        <v>1.33</v>
      </c>
      <c r="CY144" s="28">
        <v>0.62</v>
      </c>
      <c r="CZ144" s="29">
        <v>18.278045980000002</v>
      </c>
      <c r="DA144" s="27">
        <v>-1.5457736807420394E-2</v>
      </c>
      <c r="DC144" s="27">
        <v>1.1698744465812936</v>
      </c>
      <c r="DD144" s="27">
        <v>3</v>
      </c>
      <c r="DE144" s="28">
        <v>2.5099999999999998</v>
      </c>
      <c r="DF144" s="28">
        <v>100.491129</v>
      </c>
      <c r="DG144" s="28">
        <v>4.6100694549465073</v>
      </c>
      <c r="DH144" s="28">
        <v>1.0363100000000001</v>
      </c>
      <c r="DI144" s="28">
        <v>0.80021699999999996</v>
      </c>
      <c r="DJ144" s="27">
        <v>3.2</v>
      </c>
      <c r="DK144" s="27">
        <v>1</v>
      </c>
      <c r="DL144" s="27">
        <v>1.7108786898118553E-2</v>
      </c>
      <c r="DM144" s="27">
        <v>0.8266</v>
      </c>
      <c r="DN144" s="28">
        <v>0.75860000000000005</v>
      </c>
      <c r="DO144" s="28">
        <v>-1.9643318686999211E-2</v>
      </c>
      <c r="DP144" s="28">
        <f t="shared" si="67"/>
        <v>0.13590765425312626</v>
      </c>
      <c r="DQ144" s="27">
        <v>0.10860000000000003</v>
      </c>
      <c r="DR144" s="27">
        <v>3.1335239457349999E-2</v>
      </c>
      <c r="DS144" s="27">
        <v>2.7611694356583942E-2</v>
      </c>
      <c r="DT144" s="27">
        <v>1.50675227484701E-2</v>
      </c>
      <c r="DU144" s="30">
        <v>6.1553740000000001</v>
      </c>
      <c r="DV144">
        <v>1.6</v>
      </c>
      <c r="DW144">
        <v>2.2999999999999998</v>
      </c>
      <c r="DX144">
        <v>107</v>
      </c>
      <c r="DY144">
        <v>107.5</v>
      </c>
      <c r="DZ144">
        <v>0.4</v>
      </c>
      <c r="EA144">
        <v>1.1000000000000001</v>
      </c>
      <c r="EB144">
        <v>1.4054869999999999</v>
      </c>
    </row>
    <row r="145" spans="1:132" ht="18">
      <c r="A145" s="14" t="s">
        <v>161</v>
      </c>
      <c r="B145" s="14">
        <v>1</v>
      </c>
      <c r="C145" s="14" t="s">
        <v>147</v>
      </c>
      <c r="D145" s="14" t="s">
        <v>162</v>
      </c>
      <c r="E145" s="14" t="s">
        <v>160</v>
      </c>
      <c r="F145" s="15">
        <v>18100.61</v>
      </c>
      <c r="G145" s="15">
        <v>4.2576932110664192</v>
      </c>
      <c r="H145" s="16"/>
      <c r="I145" s="16"/>
      <c r="J145" s="16"/>
      <c r="K145" s="16"/>
      <c r="L145" s="17">
        <v>0.26924773824646792</v>
      </c>
      <c r="M145" s="18">
        <v>27</v>
      </c>
      <c r="N145" s="18">
        <v>27</v>
      </c>
      <c r="O145" s="18">
        <v>0.86259199999999991</v>
      </c>
      <c r="P145" s="18">
        <v>1</v>
      </c>
      <c r="Q145" s="18">
        <v>1</v>
      </c>
      <c r="R145" s="18">
        <v>21</v>
      </c>
      <c r="S145" s="18">
        <v>3</v>
      </c>
      <c r="T145" s="19">
        <v>11932.76</v>
      </c>
      <c r="U145" s="19">
        <v>4.0767409058780162</v>
      </c>
      <c r="V145" s="20"/>
      <c r="W145" s="20"/>
      <c r="X145" s="20">
        <v>0</v>
      </c>
      <c r="Y145" s="20"/>
      <c r="Z145" s="20"/>
      <c r="AA145" s="20"/>
      <c r="AB145" s="20"/>
      <c r="AC145" s="20"/>
      <c r="AD145" s="21">
        <v>5103.7700000000004</v>
      </c>
      <c r="AE145" s="21">
        <f t="shared" ref="AE145:AE196" si="69">AD145/AR145</f>
        <v>7.5918907099273208E-2</v>
      </c>
      <c r="AF145" s="21">
        <f t="shared" ref="AF145:AF196" si="70">LOG(AD145)</f>
        <v>3.7078910947919637</v>
      </c>
      <c r="AG145" s="22">
        <v>7.6309080036771155E-3</v>
      </c>
      <c r="AH145" s="22">
        <v>513</v>
      </c>
      <c r="AI145" s="22">
        <v>2.4394563429999998</v>
      </c>
      <c r="AJ145" s="22">
        <v>152845</v>
      </c>
      <c r="AK145" s="23">
        <f t="shared" si="68"/>
        <v>5.1842512362716153</v>
      </c>
      <c r="AL145" s="24">
        <v>0.42000049299999997</v>
      </c>
      <c r="AM145" s="22">
        <f>21726+14681</f>
        <v>36407</v>
      </c>
      <c r="AN145" s="22">
        <f t="shared" si="64"/>
        <v>0.54155646723172068</v>
      </c>
      <c r="AO145" s="23">
        <v>0.19628809663760546</v>
      </c>
      <c r="AP145" s="23">
        <v>6.4233844342324126E-2</v>
      </c>
      <c r="AQ145" s="23">
        <v>0.8077639149565814</v>
      </c>
      <c r="AR145" s="22">
        <v>67226.600000000006</v>
      </c>
      <c r="AS145" s="23">
        <v>4.8275411472717167</v>
      </c>
      <c r="AT145" s="23">
        <f>LOG(86422.57)</f>
        <v>4.9366271770437455</v>
      </c>
      <c r="AU145" s="22">
        <v>2.02</v>
      </c>
      <c r="AV145" s="22">
        <v>1.2813603200000001</v>
      </c>
      <c r="AW145" s="22">
        <v>41.460999999999999</v>
      </c>
      <c r="AX145" s="22"/>
      <c r="AY145" s="22">
        <v>1</v>
      </c>
      <c r="AZ145" s="24">
        <v>28411.3</v>
      </c>
      <c r="BA145" s="24">
        <f t="shared" si="61"/>
        <v>4.4534911059478439</v>
      </c>
      <c r="BB145" s="24">
        <v>6953.59</v>
      </c>
      <c r="BC145" s="24">
        <f t="shared" si="62"/>
        <v>3.842209080079348</v>
      </c>
      <c r="BD145" s="24">
        <v>21457.71</v>
      </c>
      <c r="BE145" s="22">
        <v>5576.8</v>
      </c>
      <c r="BF145" s="22">
        <v>1735.4</v>
      </c>
      <c r="BG145" s="23">
        <v>1.6480531813865149</v>
      </c>
      <c r="BH145" s="23">
        <v>8.295525878149422E-2</v>
      </c>
      <c r="BI145" s="23">
        <v>2.4377891099512546E-2</v>
      </c>
      <c r="BJ145" s="23">
        <v>1.9212990492763298E-2</v>
      </c>
      <c r="BK145" s="23">
        <v>2.4028890539737038</v>
      </c>
      <c r="BL145" s="22">
        <v>2106</v>
      </c>
      <c r="BM145" s="22">
        <v>8814</v>
      </c>
      <c r="BN145" s="22"/>
      <c r="BO145" s="22">
        <v>3.9451730461739003</v>
      </c>
      <c r="BP145" s="22">
        <v>0.31022867661810616</v>
      </c>
      <c r="BQ145" s="22"/>
      <c r="BR145" s="22"/>
      <c r="BS145" s="22">
        <v>-5780</v>
      </c>
      <c r="BT145" s="22">
        <v>3.761927838420529</v>
      </c>
      <c r="BU145" s="22">
        <v>8.5977871854295757E-2</v>
      </c>
      <c r="BV145" s="23">
        <v>3679</v>
      </c>
      <c r="BW145" s="22">
        <v>21778</v>
      </c>
      <c r="BX145" s="22">
        <v>5.48</v>
      </c>
      <c r="BY145" s="22">
        <v>0.73878055848436919</v>
      </c>
      <c r="BZ145" s="25">
        <v>-0.43271221532091092</v>
      </c>
      <c r="CA145" s="23">
        <v>0.54704599928878084</v>
      </c>
      <c r="CB145" s="23">
        <v>54.704599928878082</v>
      </c>
      <c r="CC145" s="23">
        <v>1.7380238462554702</v>
      </c>
      <c r="CD145" s="23">
        <v>0.24684459</v>
      </c>
      <c r="CE145" s="23">
        <v>0.25781599843701042</v>
      </c>
      <c r="CF145" s="23">
        <v>2.103678929765886</v>
      </c>
      <c r="CG145" s="23">
        <f t="shared" si="63"/>
        <v>0.74368768330975399</v>
      </c>
      <c r="CH145" s="26">
        <v>28.62</v>
      </c>
      <c r="CI145" s="26">
        <v>23.8</v>
      </c>
      <c r="CJ145" s="26">
        <v>1.4566696294237576</v>
      </c>
      <c r="CK145" s="26">
        <v>1.3765769570565121</v>
      </c>
      <c r="CL145" s="26">
        <v>0.20252100840336135</v>
      </c>
      <c r="CM145" s="27">
        <v>28.164291187739472</v>
      </c>
      <c r="CN145" s="27">
        <v>5.6821432935815153E-2</v>
      </c>
      <c r="CQ145" s="27">
        <v>125.09884615384618</v>
      </c>
      <c r="CR145" s="27">
        <v>0.13726223776223803</v>
      </c>
      <c r="CS145" s="27">
        <v>0.92386973180076593</v>
      </c>
      <c r="CT145" s="27">
        <v>1.0645593900000001</v>
      </c>
      <c r="CU145" s="27">
        <v>-0.12842478132003218</v>
      </c>
      <c r="CX145" s="36">
        <v>0.76</v>
      </c>
      <c r="CY145" s="28">
        <v>0.82</v>
      </c>
      <c r="CZ145" s="29">
        <v>37.275402300000003</v>
      </c>
      <c r="DA145" s="27">
        <v>0.32652677224199295</v>
      </c>
      <c r="DB145" s="27">
        <v>2.5105365885464708</v>
      </c>
      <c r="DC145" s="27">
        <v>1.25643310503606</v>
      </c>
      <c r="DD145" s="27">
        <v>3</v>
      </c>
      <c r="DE145" s="28">
        <v>1.64</v>
      </c>
      <c r="DF145" s="28">
        <v>80.686753999999993</v>
      </c>
      <c r="DG145" s="28">
        <v>4.3905744230180321</v>
      </c>
      <c r="DH145" s="28">
        <v>0.84185200000000004</v>
      </c>
      <c r="DI145" s="28">
        <v>0.68335000000000001</v>
      </c>
      <c r="DJ145" s="27">
        <v>0.8</v>
      </c>
      <c r="DK145" s="27">
        <v>2.2999999999999998</v>
      </c>
      <c r="DL145" s="27">
        <v>1.1731637610823707E-2</v>
      </c>
      <c r="DM145" s="27">
        <v>0.95289999999999997</v>
      </c>
      <c r="DN145" s="28">
        <v>1.1605000000000001</v>
      </c>
      <c r="DO145" s="28">
        <v>9.3264248704663183E-2</v>
      </c>
      <c r="DP145" s="28">
        <f>(DM145-1.1242)/1.1242</f>
        <v>-0.15237502223803603</v>
      </c>
      <c r="DQ145" s="27">
        <v>0.20879999999999999</v>
      </c>
      <c r="DR145" s="27">
        <v>6.0688564775993471E-2</v>
      </c>
      <c r="DS145" s="27">
        <v>3.9305854754660308E-2</v>
      </c>
      <c r="DT145" s="27">
        <v>3.268886E-2</v>
      </c>
      <c r="DU145" s="30">
        <v>5.7817160000000003</v>
      </c>
      <c r="DV145">
        <v>0.9</v>
      </c>
      <c r="DW145">
        <v>2.8</v>
      </c>
      <c r="DX145">
        <v>84</v>
      </c>
      <c r="DY145">
        <v>80.900000000000006</v>
      </c>
      <c r="DZ145">
        <v>2.2000000000000002</v>
      </c>
      <c r="EA145">
        <v>3</v>
      </c>
      <c r="EB145">
        <v>1.701892</v>
      </c>
    </row>
    <row r="146" spans="1:132" ht="18">
      <c r="A146" s="14" t="s">
        <v>161</v>
      </c>
      <c r="B146" s="14">
        <v>2</v>
      </c>
      <c r="C146" s="14" t="s">
        <v>147</v>
      </c>
      <c r="D146" s="14" t="s">
        <v>162</v>
      </c>
      <c r="E146" s="14" t="s">
        <v>160</v>
      </c>
      <c r="F146" s="15">
        <v>16535.599999999999</v>
      </c>
      <c r="G146" s="15">
        <v>4.2184199580620305</v>
      </c>
      <c r="H146" s="15">
        <v>1378.52</v>
      </c>
      <c r="I146" s="16">
        <v>0</v>
      </c>
      <c r="J146" s="16">
        <v>15780.52</v>
      </c>
      <c r="K146" s="16">
        <v>1</v>
      </c>
      <c r="L146" s="17">
        <v>0.26813993688764637</v>
      </c>
      <c r="M146" s="18">
        <v>27</v>
      </c>
      <c r="N146" s="18">
        <v>27</v>
      </c>
      <c r="O146" s="18">
        <v>0.86259199999999991</v>
      </c>
      <c r="P146" s="18">
        <v>1</v>
      </c>
      <c r="Q146" s="18">
        <v>1</v>
      </c>
      <c r="R146" s="18">
        <v>21</v>
      </c>
      <c r="S146" s="18">
        <v>3</v>
      </c>
      <c r="T146" s="19">
        <v>10791.94</v>
      </c>
      <c r="U146" s="19">
        <v>4.0330995221214696</v>
      </c>
      <c r="V146" s="20"/>
      <c r="W146" s="20"/>
      <c r="X146" s="20">
        <v>0</v>
      </c>
      <c r="Y146" s="20"/>
      <c r="Z146" s="20"/>
      <c r="AA146" s="20"/>
      <c r="AB146" s="20"/>
      <c r="AC146" s="20"/>
      <c r="AD146" s="21">
        <v>3680.46</v>
      </c>
      <c r="AE146" s="21">
        <f t="shared" si="69"/>
        <v>5.9682038276053305E-2</v>
      </c>
      <c r="AF146" s="21">
        <f t="shared" si="70"/>
        <v>3.5659021020911128</v>
      </c>
      <c r="AG146" s="22">
        <v>7.1998676781075376E-3</v>
      </c>
      <c r="AH146" s="22">
        <v>444</v>
      </c>
      <c r="AI146" s="22">
        <v>2.7232969420000002</v>
      </c>
      <c r="AJ146" s="22">
        <v>148288</v>
      </c>
      <c r="AK146" s="23">
        <f t="shared" si="68"/>
        <v>5.1711060077738624</v>
      </c>
      <c r="AL146" s="24">
        <v>0.38000002799999999</v>
      </c>
      <c r="AM146" s="22">
        <f>18495+13848</f>
        <v>32343</v>
      </c>
      <c r="AN146" s="22">
        <f t="shared" si="64"/>
        <v>0.52447144214646868</v>
      </c>
      <c r="AO146" s="23">
        <v>7.7591282204406781E-2</v>
      </c>
      <c r="AP146" s="33">
        <v>2.4508009999999998E-3</v>
      </c>
      <c r="AQ146" s="23">
        <v>-0.61069195113492891</v>
      </c>
      <c r="AR146" s="23">
        <v>61667.8</v>
      </c>
      <c r="AS146" s="23">
        <v>4.7900584552383236</v>
      </c>
      <c r="AT146" s="23">
        <v>4.8275411472717167</v>
      </c>
      <c r="AU146" s="22">
        <v>1.4690000000000001</v>
      </c>
      <c r="AV146" s="22">
        <v>0.86438135130000004</v>
      </c>
      <c r="AW146" s="22">
        <v>57.686999999999998</v>
      </c>
      <c r="AX146" s="22">
        <v>41.460999999999999</v>
      </c>
      <c r="AY146" s="22">
        <v>2</v>
      </c>
      <c r="AZ146" s="24">
        <v>28399.84</v>
      </c>
      <c r="BA146" s="24">
        <f t="shared" si="61"/>
        <v>4.4533158933106698</v>
      </c>
      <c r="BB146" s="24">
        <v>6276.61</v>
      </c>
      <c r="BC146" s="24">
        <f t="shared" si="62"/>
        <v>3.7977251444050641</v>
      </c>
      <c r="BD146" s="24">
        <v>22123.23</v>
      </c>
      <c r="BE146" s="22">
        <v>2203.58</v>
      </c>
      <c r="BF146" s="22">
        <f>STDEVP(BE145:BE146)</f>
        <v>1686.6099999999997</v>
      </c>
      <c r="BG146" s="23">
        <v>-0.60486659015923117</v>
      </c>
      <c r="BH146" s="23">
        <v>3.5733073013793255E-2</v>
      </c>
      <c r="BI146" s="23">
        <v>8.295525878149422E-2</v>
      </c>
      <c r="BJ146" s="23">
        <v>1.9212990492763298E-2</v>
      </c>
      <c r="BK146" s="23">
        <v>-0.56924885126433189</v>
      </c>
      <c r="BL146" s="22">
        <v>5576.8</v>
      </c>
      <c r="BM146" s="22">
        <v>9191</v>
      </c>
      <c r="BN146" s="22">
        <f>STDEVP(BM145:BM146)</f>
        <v>188.5</v>
      </c>
      <c r="BO146" s="22">
        <v>3.9633627661037361</v>
      </c>
      <c r="BP146" s="22">
        <v>0.32362858382300747</v>
      </c>
      <c r="BQ146" s="22">
        <v>6.6999536024506534E-3</v>
      </c>
      <c r="BR146" s="22"/>
      <c r="BS146" s="22">
        <v>-5171</v>
      </c>
      <c r="BT146" s="22">
        <v>3.7135745377720699</v>
      </c>
      <c r="BU146" s="22">
        <v>8.3852512980842508E-2</v>
      </c>
      <c r="BV146" s="23">
        <v>9349</v>
      </c>
      <c r="BW146" s="23">
        <v>18310</v>
      </c>
      <c r="BX146" s="22">
        <v>7.48</v>
      </c>
      <c r="BY146" s="22">
        <v>0.87390159786446142</v>
      </c>
      <c r="BZ146" s="25">
        <v>0.36496350364963503</v>
      </c>
      <c r="CA146" s="23">
        <v>0.25781599843701042</v>
      </c>
      <c r="CB146" s="23">
        <v>25.781599843701041</v>
      </c>
      <c r="CC146" s="23">
        <v>1.4113098634337251</v>
      </c>
      <c r="CD146" s="23">
        <v>0.54704599928878084</v>
      </c>
      <c r="CE146" s="23">
        <v>0.12277238883561896</v>
      </c>
      <c r="CF146" s="23">
        <v>1.5727136431784108</v>
      </c>
      <c r="CG146" s="23">
        <f t="shared" si="63"/>
        <v>0.45280256248067347</v>
      </c>
      <c r="CH146" s="26">
        <v>18.309999999999999</v>
      </c>
      <c r="CI146" s="26">
        <v>28.62</v>
      </c>
      <c r="CJ146" s="26">
        <v>1.2626883443016965</v>
      </c>
      <c r="CK146" s="26">
        <v>1.4566696294237576</v>
      </c>
      <c r="CL146" s="26">
        <v>-0.36023759608665273</v>
      </c>
      <c r="CM146" s="27">
        <v>22.615402298850572</v>
      </c>
      <c r="CN146" s="27">
        <v>-0.19701858825065877</v>
      </c>
      <c r="CQ146" s="27">
        <v>115.89653846153851</v>
      </c>
      <c r="CR146" s="27">
        <v>-7.3560292322686169E-2</v>
      </c>
      <c r="CS146" s="27">
        <v>0.92888888888888932</v>
      </c>
      <c r="CT146" s="27">
        <v>0.92386973180076604</v>
      </c>
      <c r="CU146" s="27">
        <v>5.4327541160378483E-3</v>
      </c>
      <c r="CX146" s="36">
        <v>0.66</v>
      </c>
      <c r="CY146" s="28">
        <v>0.76</v>
      </c>
      <c r="CZ146" s="29">
        <v>31.998965519999999</v>
      </c>
      <c r="DA146" s="27">
        <v>-0.14155277889515908</v>
      </c>
      <c r="DB146" s="27">
        <v>2.6347679627304119</v>
      </c>
      <c r="DC146" s="27">
        <v>2.5105365885464708</v>
      </c>
      <c r="DD146" s="27">
        <v>3</v>
      </c>
      <c r="DE146" s="28">
        <v>1.79</v>
      </c>
      <c r="DF146" s="28">
        <v>83.848803000000004</v>
      </c>
      <c r="DG146" s="28">
        <v>4.4290152126753721</v>
      </c>
      <c r="DH146" s="28">
        <v>0.86682099999999995</v>
      </c>
      <c r="DI146" s="28">
        <v>0.72107600000000005</v>
      </c>
      <c r="DJ146" s="27">
        <v>0.2</v>
      </c>
      <c r="DK146" s="27">
        <v>2</v>
      </c>
      <c r="DL146" s="27">
        <v>1.6216043547496031E-2</v>
      </c>
      <c r="DM146" s="27">
        <v>0.79400000000000004</v>
      </c>
      <c r="DN146" s="28">
        <v>1.1231</v>
      </c>
      <c r="DO146" s="28">
        <v>-3.2227488151658851E-2</v>
      </c>
      <c r="DP146" s="28">
        <f>(DM146-DM145)/DM145</f>
        <v>-0.16675411900514214</v>
      </c>
      <c r="DQ146" s="27">
        <v>0.17130000000000001</v>
      </c>
      <c r="DR146" s="27">
        <v>3.9305854754660308E-2</v>
      </c>
      <c r="DS146" s="27">
        <v>2.6867542601332471E-2</v>
      </c>
      <c r="DT146" s="27">
        <v>6.0688564775993471E-2</v>
      </c>
      <c r="DU146" s="30">
        <v>5.9865389999999996</v>
      </c>
      <c r="DV146">
        <v>0.9</v>
      </c>
      <c r="DW146">
        <v>2.8</v>
      </c>
      <c r="DX146">
        <v>85.7</v>
      </c>
      <c r="DY146">
        <v>82.9</v>
      </c>
      <c r="DZ146">
        <v>2.4</v>
      </c>
      <c r="EA146">
        <v>2</v>
      </c>
      <c r="EB146">
        <v>1.4781599999999999</v>
      </c>
    </row>
    <row r="147" spans="1:132" ht="18">
      <c r="A147" s="14" t="s">
        <v>161</v>
      </c>
      <c r="B147" s="14">
        <v>3</v>
      </c>
      <c r="C147" s="14" t="s">
        <v>147</v>
      </c>
      <c r="D147" s="14" t="s">
        <v>162</v>
      </c>
      <c r="E147" s="14" t="s">
        <v>160</v>
      </c>
      <c r="F147" s="15">
        <v>13996.04</v>
      </c>
      <c r="G147" s="15">
        <v>4.1460051750050999</v>
      </c>
      <c r="H147" s="15">
        <v>3548.68</v>
      </c>
      <c r="I147" s="15">
        <v>2033.33</v>
      </c>
      <c r="J147" s="16">
        <v>11053.38</v>
      </c>
      <c r="K147" s="16">
        <v>1</v>
      </c>
      <c r="L147" s="17">
        <v>0.23296114473543608</v>
      </c>
      <c r="M147" s="18">
        <v>27</v>
      </c>
      <c r="N147" s="18">
        <v>27</v>
      </c>
      <c r="O147" s="18">
        <v>0.86259199999999991</v>
      </c>
      <c r="P147" s="18">
        <v>1</v>
      </c>
      <c r="Q147" s="18">
        <v>1</v>
      </c>
      <c r="R147" s="18">
        <v>21</v>
      </c>
      <c r="S147" s="18">
        <v>3</v>
      </c>
      <c r="T147" s="19">
        <v>9859</v>
      </c>
      <c r="U147" s="19">
        <v>3.9938328666139862</v>
      </c>
      <c r="V147" s="18">
        <v>25762</v>
      </c>
      <c r="W147" s="20">
        <v>4.4109795758945696</v>
      </c>
      <c r="X147" s="20">
        <v>0.1484379501480807</v>
      </c>
      <c r="Y147" s="20">
        <v>0.1758186437</v>
      </c>
      <c r="Z147" s="20">
        <f t="shared" si="60"/>
        <v>-0.75493507450272312</v>
      </c>
      <c r="AA147" s="20">
        <v>0.4748439538</v>
      </c>
      <c r="AB147" s="20">
        <v>1761.88</v>
      </c>
      <c r="AC147" s="20"/>
      <c r="AD147" s="21">
        <v>4229.9799999999996</v>
      </c>
      <c r="AE147" s="21">
        <f t="shared" si="69"/>
        <v>7.0407128231128213E-2</v>
      </c>
      <c r="AF147" s="21">
        <f t="shared" si="70"/>
        <v>3.626338313968382</v>
      </c>
      <c r="AG147" s="22">
        <v>7.6732481275443645E-3</v>
      </c>
      <c r="AH147" s="22">
        <v>461</v>
      </c>
      <c r="AI147" s="22">
        <v>3.4343297979999998</v>
      </c>
      <c r="AJ147" s="22">
        <v>173554</v>
      </c>
      <c r="AK147" s="23">
        <f t="shared" si="68"/>
        <v>5.2394346275603469</v>
      </c>
      <c r="AL147" s="24">
        <v>0.32558456000000002</v>
      </c>
      <c r="AM147" s="22">
        <f>16003+19344</f>
        <v>35347</v>
      </c>
      <c r="AN147" s="22">
        <f t="shared" si="64"/>
        <v>0.58834338734123781</v>
      </c>
      <c r="AO147" s="23">
        <v>0.11510845773510185</v>
      </c>
      <c r="AP147" s="33">
        <v>6.11234E-3</v>
      </c>
      <c r="AQ147" s="23">
        <v>-0.21379249605262821</v>
      </c>
      <c r="AR147" s="23">
        <v>60078.86</v>
      </c>
      <c r="AS147" s="23">
        <v>4.7787216833102502</v>
      </c>
      <c r="AT147" s="23">
        <v>4.7900584552383236</v>
      </c>
      <c r="AU147" s="22">
        <v>1.6970000000000001</v>
      </c>
      <c r="AV147" s="22">
        <v>1.385051523</v>
      </c>
      <c r="AW147" s="22">
        <v>68.688999999999993</v>
      </c>
      <c r="AX147" s="22">
        <v>57.686999999999998</v>
      </c>
      <c r="AY147" s="22">
        <v>2</v>
      </c>
      <c r="AZ147" s="24">
        <v>30280.92</v>
      </c>
      <c r="BA147" s="24">
        <f t="shared" si="61"/>
        <v>4.4811690658364132</v>
      </c>
      <c r="BB147" s="24">
        <v>7637.33</v>
      </c>
      <c r="BC147" s="24">
        <f t="shared" si="62"/>
        <v>3.8829415563591394</v>
      </c>
      <c r="BD147" s="24">
        <v>22643.589999999997</v>
      </c>
      <c r="BE147" s="22">
        <v>3485.59</v>
      </c>
      <c r="BF147" s="22">
        <f t="shared" ref="BF147:BF157" si="71">STDEVP(BE146:BE147)</f>
        <v>641.00500000000113</v>
      </c>
      <c r="BG147" s="23">
        <v>0.58178509516332522</v>
      </c>
      <c r="BH147" s="23">
        <v>5.8016913103877139E-2</v>
      </c>
      <c r="BI147" s="23">
        <v>3.5733073013793255E-2</v>
      </c>
      <c r="BJ147" s="23">
        <v>1.9212990492763298E-2</v>
      </c>
      <c r="BK147" s="23">
        <v>0.62361947100049697</v>
      </c>
      <c r="BL147" s="22">
        <v>2203.58</v>
      </c>
      <c r="BM147" s="22">
        <v>10131</v>
      </c>
      <c r="BN147" s="22">
        <f t="shared" ref="BN147:BN156" si="72">STDEVP(BM146:BM147)</f>
        <v>470</v>
      </c>
      <c r="BO147" s="22">
        <v>4.005652315355074</v>
      </c>
      <c r="BP147" s="22">
        <v>0.3345671135487297</v>
      </c>
      <c r="BQ147" s="22">
        <v>5.4692648628611173E-3</v>
      </c>
      <c r="BR147" s="22">
        <v>6.6999536024506534E-3</v>
      </c>
      <c r="BS147" s="22">
        <v>-5808</v>
      </c>
      <c r="BT147" s="22">
        <v>3.7640266076920375</v>
      </c>
      <c r="BU147" s="22">
        <v>9.6672939533140281E-2</v>
      </c>
      <c r="BV147" s="23">
        <v>9745</v>
      </c>
      <c r="BW147" s="22">
        <v>27702</v>
      </c>
      <c r="BX147" s="22">
        <v>8.91</v>
      </c>
      <c r="BY147" s="22">
        <v>0.94987770403687477</v>
      </c>
      <c r="BZ147" s="25">
        <v>0.19117647058823525</v>
      </c>
      <c r="CA147" s="23">
        <v>0.12277238883561896</v>
      </c>
      <c r="CB147" s="23">
        <v>12.277238883561896</v>
      </c>
      <c r="CC147" s="23">
        <v>1.0891007061810292</v>
      </c>
      <c r="CD147" s="23">
        <v>0.25781599843701042</v>
      </c>
      <c r="CE147" s="23">
        <v>0.16799821585194843</v>
      </c>
      <c r="CF147" s="23">
        <v>1.2676200204290093</v>
      </c>
      <c r="CG147" s="23">
        <f t="shared" si="63"/>
        <v>0.23714114267409694</v>
      </c>
      <c r="CH147" s="26">
        <v>13.29</v>
      </c>
      <c r="CI147" s="26">
        <v>18.309999999999999</v>
      </c>
      <c r="CJ147" s="26">
        <v>1.1235249809427319</v>
      </c>
      <c r="CK147" s="26">
        <v>1.2626883443016965</v>
      </c>
      <c r="CL147" s="26">
        <v>-0.27416712179137082</v>
      </c>
      <c r="CM147" s="27">
        <v>16.030268199233717</v>
      </c>
      <c r="CN147" s="27">
        <v>-0.29117917128326054</v>
      </c>
      <c r="CQ147" s="27">
        <v>102.09153846153851</v>
      </c>
      <c r="CR147" s="27">
        <v>-0.11911486040268011</v>
      </c>
      <c r="CS147" s="27">
        <v>0.9859003831417622</v>
      </c>
      <c r="CT147" s="27">
        <v>0.92888888888888899</v>
      </c>
      <c r="CU147" s="27">
        <v>6.1376010559312889E-2</v>
      </c>
      <c r="CV147" s="27">
        <v>1.140877862595419</v>
      </c>
      <c r="CW147" s="27">
        <v>2.0572391532349976</v>
      </c>
      <c r="CX147" s="36">
        <v>1.07</v>
      </c>
      <c r="CY147" s="28">
        <v>0.66</v>
      </c>
      <c r="CZ147" s="29">
        <v>18.886297710000001</v>
      </c>
      <c r="DA147" s="27">
        <v>-0.40978411635852152</v>
      </c>
      <c r="DB147" s="27">
        <v>266.87708664986224</v>
      </c>
      <c r="DC147" s="27">
        <v>2.6347679627304119</v>
      </c>
      <c r="DD147" s="27">
        <v>3</v>
      </c>
      <c r="DE147" s="28">
        <v>1.99</v>
      </c>
      <c r="DF147" s="28">
        <v>87.136737999999994</v>
      </c>
      <c r="DG147" s="28">
        <v>4.467478585974396</v>
      </c>
      <c r="DH147" s="28">
        <v>0.88838099999999998</v>
      </c>
      <c r="DI147" s="28">
        <v>0.71391800000000005</v>
      </c>
      <c r="DJ147" s="27">
        <v>0.2</v>
      </c>
      <c r="DK147" s="27">
        <v>2.1</v>
      </c>
      <c r="DL147" s="27">
        <v>1.3035848693861207E-2</v>
      </c>
      <c r="DM147" s="27">
        <v>0.73780000000000001</v>
      </c>
      <c r="DN147" s="28">
        <v>0.95269999999999999</v>
      </c>
      <c r="DO147" s="28">
        <v>-0.15172290980322323</v>
      </c>
      <c r="DP147" s="28">
        <f t="shared" ref="DP147:DP157" si="73">(DM147-DM146)/DM146</f>
        <v>-7.0780856423173832E-2</v>
      </c>
      <c r="DQ147" s="27">
        <v>0.11370000000000002</v>
      </c>
      <c r="DR147" s="27">
        <v>2.6867542601332471E-2</v>
      </c>
      <c r="DS147" s="27">
        <v>3.2347817198611614E-2</v>
      </c>
      <c r="DT147" s="27">
        <v>3.9305854754660308E-2</v>
      </c>
      <c r="DU147" s="30">
        <v>5.5230399999999999</v>
      </c>
      <c r="DV147">
        <v>0.3</v>
      </c>
      <c r="DW147">
        <v>2.6</v>
      </c>
      <c r="DX147">
        <v>88</v>
      </c>
      <c r="DY147">
        <v>85.1</v>
      </c>
      <c r="DZ147">
        <v>2</v>
      </c>
      <c r="EA147">
        <v>1.5</v>
      </c>
      <c r="EB147">
        <v>1.913224</v>
      </c>
    </row>
    <row r="148" spans="1:132" ht="18">
      <c r="A148" s="14" t="s">
        <v>161</v>
      </c>
      <c r="B148" s="14">
        <v>4</v>
      </c>
      <c r="C148" s="14" t="s">
        <v>147</v>
      </c>
      <c r="D148" s="14" t="s">
        <v>162</v>
      </c>
      <c r="E148" s="14" t="s">
        <v>160</v>
      </c>
      <c r="F148" s="15">
        <v>12749.42</v>
      </c>
      <c r="G148" s="15">
        <v>4.1054904281794675</v>
      </c>
      <c r="H148" s="16"/>
      <c r="I148" s="16">
        <v>3229.68</v>
      </c>
      <c r="J148" s="16">
        <v>0</v>
      </c>
      <c r="K148" s="16">
        <v>1</v>
      </c>
      <c r="L148" s="17">
        <v>0.1742348385220551</v>
      </c>
      <c r="M148" s="18">
        <v>27</v>
      </c>
      <c r="N148" s="18">
        <v>27</v>
      </c>
      <c r="O148" s="18">
        <v>0.86259199999999991</v>
      </c>
      <c r="P148" s="18">
        <v>1</v>
      </c>
      <c r="Q148" s="18">
        <v>1</v>
      </c>
      <c r="R148" s="18">
        <v>21</v>
      </c>
      <c r="S148" s="18">
        <v>3</v>
      </c>
      <c r="T148" s="19">
        <v>15256</v>
      </c>
      <c r="U148" s="19">
        <v>4.1834406800379496</v>
      </c>
      <c r="V148" s="18">
        <v>25905</v>
      </c>
      <c r="W148" s="20">
        <v>4.4133835966231398</v>
      </c>
      <c r="X148" s="20">
        <v>0.1247585977721163</v>
      </c>
      <c r="Y148" s="20">
        <v>0.20868345860000001</v>
      </c>
      <c r="Z148" s="20">
        <f t="shared" si="60"/>
        <v>-0.68051197414226394</v>
      </c>
      <c r="AA148" s="20">
        <v>0.50094599760000003</v>
      </c>
      <c r="AB148" s="20">
        <v>2674.19</v>
      </c>
      <c r="AC148" s="20"/>
      <c r="AD148" s="21">
        <v>5117</v>
      </c>
      <c r="AE148" s="21">
        <f t="shared" si="69"/>
        <v>6.992942963031698E-2</v>
      </c>
      <c r="AF148" s="21">
        <f t="shared" si="70"/>
        <v>3.7090154169721172</v>
      </c>
      <c r="AG148" s="22">
        <v>7.4343579673426686E-3</v>
      </c>
      <c r="AH148" s="22">
        <v>544</v>
      </c>
      <c r="AI148" s="22">
        <v>3.8710236419999999</v>
      </c>
      <c r="AJ148" s="23">
        <v>207641</v>
      </c>
      <c r="AK148" s="23">
        <f t="shared" si="68"/>
        <v>5.3173131117760475</v>
      </c>
      <c r="AL148" s="24">
        <v>0.40272254800000001</v>
      </c>
      <c r="AM148" s="22">
        <f>35126+21890</f>
        <v>57016</v>
      </c>
      <c r="AN148" s="22">
        <f t="shared" si="64"/>
        <v>0.77918631225369417</v>
      </c>
      <c r="AO148" s="23">
        <v>0.12742304029126111</v>
      </c>
      <c r="AP148" s="33">
        <v>1.818225E-2</v>
      </c>
      <c r="AQ148" s="23">
        <v>0.25964762487721865</v>
      </c>
      <c r="AR148" s="23">
        <v>73173.77</v>
      </c>
      <c r="AS148" s="23">
        <v>4.8643554309800718</v>
      </c>
      <c r="AT148" s="23">
        <v>4.7787216833102502</v>
      </c>
      <c r="AU148" s="22">
        <v>2.5579999999999998</v>
      </c>
      <c r="AV148" s="22">
        <v>2.1291620249999998</v>
      </c>
      <c r="AW148" s="22">
        <v>62.548000000000002</v>
      </c>
      <c r="AX148" s="22">
        <v>68.688999999999993</v>
      </c>
      <c r="AY148" s="22">
        <v>2</v>
      </c>
      <c r="AZ148" s="24">
        <v>37882.160000000003</v>
      </c>
      <c r="BA148" s="24">
        <f t="shared" si="61"/>
        <v>4.5784347340412772</v>
      </c>
      <c r="BB148" s="24">
        <v>10065.049999999999</v>
      </c>
      <c r="BC148" s="24">
        <f t="shared" si="62"/>
        <v>4.0028159366683056</v>
      </c>
      <c r="BD148" s="24">
        <v>27817.110000000004</v>
      </c>
      <c r="BE148" s="23">
        <v>4827.0600000000004</v>
      </c>
      <c r="BF148" s="22">
        <f t="shared" si="71"/>
        <v>670.73499999999831</v>
      </c>
      <c r="BG148" s="23">
        <v>0.38486167334654969</v>
      </c>
      <c r="BH148" s="23">
        <v>6.5967080826913799E-2</v>
      </c>
      <c r="BI148" s="23">
        <v>5.8016913103877139E-2</v>
      </c>
      <c r="BJ148" s="23">
        <v>1.9212990492763298E-2</v>
      </c>
      <c r="BK148" s="23">
        <v>0.13703189807431115</v>
      </c>
      <c r="BL148" s="22">
        <v>3485.59</v>
      </c>
      <c r="BM148" s="22">
        <v>11139</v>
      </c>
      <c r="BN148" s="22">
        <f t="shared" si="72"/>
        <v>504</v>
      </c>
      <c r="BO148" s="22">
        <v>4.0468462039458215</v>
      </c>
      <c r="BP148" s="22">
        <v>0.29404342307830383</v>
      </c>
      <c r="BQ148" s="22">
        <v>2.0261845235212933E-2</v>
      </c>
      <c r="BR148" s="22">
        <v>5.4692648628611173E-3</v>
      </c>
      <c r="BS148" s="22">
        <v>-9592</v>
      </c>
      <c r="BT148" s="22">
        <v>3.9819091700907925</v>
      </c>
      <c r="BU148" s="22">
        <v>0.13108522357123323</v>
      </c>
      <c r="BV148" s="23">
        <v>10027</v>
      </c>
      <c r="BW148" s="22">
        <v>34403</v>
      </c>
      <c r="BX148" s="22">
        <v>8.17</v>
      </c>
      <c r="BY148" s="22">
        <v>0.9122220565324155</v>
      </c>
      <c r="BZ148" s="25">
        <v>-8.305274971941641E-2</v>
      </c>
      <c r="CA148" s="23">
        <v>0.16799821585194843</v>
      </c>
      <c r="CB148" s="23">
        <v>16.799821585194845</v>
      </c>
      <c r="CC148" s="23">
        <v>1.2253046695248622</v>
      </c>
      <c r="CD148" s="23">
        <v>0.12277238883561896</v>
      </c>
      <c r="CE148" s="23">
        <v>5.616296822113559E-2</v>
      </c>
      <c r="CF148" s="23">
        <v>1.142605633802817</v>
      </c>
      <c r="CG148" s="23">
        <f t="shared" si="63"/>
        <v>0.13331129798293873</v>
      </c>
      <c r="CH148" s="26">
        <v>12.07</v>
      </c>
      <c r="CI148" s="26">
        <v>13.29</v>
      </c>
      <c r="CJ148" s="26">
        <v>1.0817072700973491</v>
      </c>
      <c r="CK148" s="26">
        <v>1.1235249809427319</v>
      </c>
      <c r="CL148" s="26">
        <v>-9.1798344620014974E-2</v>
      </c>
      <c r="CM148" s="27">
        <v>13.248115384615385</v>
      </c>
      <c r="CN148" s="27">
        <v>-0.17355622376619531</v>
      </c>
      <c r="CQ148" s="27">
        <v>81.715444015443992</v>
      </c>
      <c r="CR148" s="27">
        <v>-0.1995865157206041</v>
      </c>
      <c r="CS148" s="27">
        <v>0.91873076923076902</v>
      </c>
      <c r="CT148" s="27">
        <v>0.9859003831417622</v>
      </c>
      <c r="CU148" s="27">
        <v>-6.8130223965370842E-2</v>
      </c>
      <c r="CV148" s="27">
        <v>1.0315769230769232</v>
      </c>
      <c r="CW148" s="27">
        <v>2.0135016181765906</v>
      </c>
      <c r="CX148" s="36">
        <v>0.94</v>
      </c>
      <c r="CY148" s="28">
        <v>1.07</v>
      </c>
      <c r="CZ148" s="29">
        <v>14.03142308</v>
      </c>
      <c r="DA148" s="27">
        <v>-0.25705803776615366</v>
      </c>
      <c r="DB148" s="27">
        <v>1.72976924253802</v>
      </c>
      <c r="DC148" s="27">
        <v>266.87708664986224</v>
      </c>
      <c r="DD148" s="27">
        <v>3</v>
      </c>
      <c r="DE148" s="28">
        <v>1.2</v>
      </c>
      <c r="DF148" s="28">
        <v>90.752437</v>
      </c>
      <c r="DG148" s="28">
        <v>4.5081353267788886</v>
      </c>
      <c r="DH148" s="28">
        <v>0.91099600000000003</v>
      </c>
      <c r="DI148" s="28">
        <v>0.69542400000000004</v>
      </c>
      <c r="DJ148" s="27">
        <v>-0.7</v>
      </c>
      <c r="DK148" s="27">
        <v>1.5</v>
      </c>
      <c r="DL148" s="27">
        <v>8.4498661866614921E-3</v>
      </c>
      <c r="DM148" s="27">
        <v>0.84399999999999997</v>
      </c>
      <c r="DN148" s="28">
        <v>0.79300000000000004</v>
      </c>
      <c r="DO148" s="28">
        <v>-0.167628844337147</v>
      </c>
      <c r="DP148" s="28">
        <f t="shared" si="73"/>
        <v>0.14394144754676058</v>
      </c>
      <c r="DQ148" s="27">
        <v>0.11509999999999998</v>
      </c>
      <c r="DR148" s="27">
        <v>3.2347817198611614E-2</v>
      </c>
      <c r="DS148" s="27">
        <v>2.4490842135800685E-2</v>
      </c>
      <c r="DT148" s="27">
        <v>2.6867542601332471E-2</v>
      </c>
      <c r="DU148" s="30">
        <v>5.0767810000000004</v>
      </c>
      <c r="DV148">
        <v>-0.3</v>
      </c>
      <c r="DW148">
        <v>0.7</v>
      </c>
      <c r="DX148">
        <v>90.9</v>
      </c>
      <c r="DY148">
        <v>87.4</v>
      </c>
      <c r="DZ148">
        <v>1.6</v>
      </c>
      <c r="EA148">
        <v>1</v>
      </c>
      <c r="EB148">
        <v>2.1595819999999999</v>
      </c>
    </row>
    <row r="149" spans="1:132" ht="18">
      <c r="A149" s="14" t="s">
        <v>161</v>
      </c>
      <c r="B149" s="14">
        <v>5</v>
      </c>
      <c r="C149" s="14" t="s">
        <v>147</v>
      </c>
      <c r="D149" s="14" t="s">
        <v>162</v>
      </c>
      <c r="E149" s="14" t="s">
        <v>160</v>
      </c>
      <c r="F149" s="15">
        <v>9818</v>
      </c>
      <c r="G149" s="15">
        <v>3.9920230277638504</v>
      </c>
      <c r="H149" s="16"/>
      <c r="I149" s="16">
        <v>1157.55</v>
      </c>
      <c r="J149" s="16">
        <v>0</v>
      </c>
      <c r="K149" s="16">
        <v>1</v>
      </c>
      <c r="L149" s="17">
        <v>9.0088271457671912E-2</v>
      </c>
      <c r="M149" s="18">
        <v>27</v>
      </c>
      <c r="N149" s="18">
        <v>27</v>
      </c>
      <c r="O149" s="18">
        <v>0.86259199999999991</v>
      </c>
      <c r="P149" s="18">
        <v>1</v>
      </c>
      <c r="Q149" s="18">
        <v>1</v>
      </c>
      <c r="R149" s="18">
        <v>21</v>
      </c>
      <c r="S149" s="18">
        <v>3</v>
      </c>
      <c r="T149" s="19">
        <v>17932</v>
      </c>
      <c r="U149" s="19">
        <v>4.2536287301937543</v>
      </c>
      <c r="V149" s="18">
        <v>28856</v>
      </c>
      <c r="W149" s="20">
        <v>4.4602361293103066</v>
      </c>
      <c r="X149" s="20">
        <v>0.12284376330353342</v>
      </c>
      <c r="Y149" s="20">
        <v>0.3161675189</v>
      </c>
      <c r="Z149" s="20">
        <f t="shared" si="60"/>
        <v>-0.50008274884742665</v>
      </c>
      <c r="AA149" s="20">
        <v>0.36663623319999999</v>
      </c>
      <c r="AB149" s="20">
        <v>2811</v>
      </c>
      <c r="AC149" s="20">
        <v>23373</v>
      </c>
      <c r="AD149" s="21">
        <v>12714</v>
      </c>
      <c r="AE149" s="21">
        <f t="shared" si="69"/>
        <v>0.11666146703125287</v>
      </c>
      <c r="AF149" s="21">
        <f t="shared" si="70"/>
        <v>4.104282207094438</v>
      </c>
      <c r="AG149" s="22">
        <v>5.3953863940834268E-3</v>
      </c>
      <c r="AH149" s="22">
        <v>588</v>
      </c>
      <c r="AI149" s="22">
        <v>3.9648017599999998</v>
      </c>
      <c r="AJ149" s="23">
        <v>234900</v>
      </c>
      <c r="AK149" s="23">
        <f t="shared" si="68"/>
        <v>5.370883016777606</v>
      </c>
      <c r="AL149" s="24">
        <v>0.33897279800000002</v>
      </c>
      <c r="AM149" s="22">
        <f>62645+26336</f>
        <v>88981</v>
      </c>
      <c r="AN149" s="22">
        <f t="shared" si="64"/>
        <v>0.81647428015635615</v>
      </c>
      <c r="AO149" s="23">
        <v>0.1243643787452033</v>
      </c>
      <c r="AP149" s="33">
        <v>1.9736066E-2</v>
      </c>
      <c r="AQ149" s="23">
        <v>0.29526058882196532</v>
      </c>
      <c r="AR149" s="23">
        <v>108982</v>
      </c>
      <c r="AS149" s="23">
        <v>5.0373547736634627</v>
      </c>
      <c r="AT149" s="23">
        <v>4.8643554309800718</v>
      </c>
      <c r="AU149" s="22">
        <v>3.379</v>
      </c>
      <c r="AV149" s="22">
        <v>2.9527023649999999</v>
      </c>
      <c r="AW149" s="22">
        <v>79.3</v>
      </c>
      <c r="AX149" s="22">
        <v>62.548000000000002</v>
      </c>
      <c r="AY149" s="22">
        <v>2</v>
      </c>
      <c r="AZ149" s="24">
        <v>52901</v>
      </c>
      <c r="BA149" s="24">
        <f t="shared" si="61"/>
        <v>4.7234638816831458</v>
      </c>
      <c r="BB149" s="24">
        <v>16629</v>
      </c>
      <c r="BC149" s="24">
        <f t="shared" si="62"/>
        <v>4.220866133312124</v>
      </c>
      <c r="BD149" s="24">
        <v>36272</v>
      </c>
      <c r="BE149" s="23">
        <v>6579</v>
      </c>
      <c r="BF149" s="22">
        <f t="shared" si="71"/>
        <v>875.96999999999673</v>
      </c>
      <c r="BG149" s="23">
        <v>0.36294141775739258</v>
      </c>
      <c r="BH149" s="23">
        <v>6.0367767154208954E-2</v>
      </c>
      <c r="BI149" s="23">
        <v>6.5967080826913799E-2</v>
      </c>
      <c r="BJ149" s="23">
        <v>1.9212990492763298E-2</v>
      </c>
      <c r="BK149" s="23">
        <v>-8.4880422212352771E-2</v>
      </c>
      <c r="BL149" s="23">
        <v>4827.0600000000004</v>
      </c>
      <c r="BM149" s="22">
        <v>15414</v>
      </c>
      <c r="BN149" s="22">
        <f t="shared" si="72"/>
        <v>2137.5</v>
      </c>
      <c r="BO149" s="22">
        <v>4.1879153546499897</v>
      </c>
      <c r="BP149" s="22">
        <v>0.29137445416910834</v>
      </c>
      <c r="BQ149" s="22">
        <v>1.3344844545977452E-3</v>
      </c>
      <c r="BR149" s="22">
        <v>2.0261845235212933E-2</v>
      </c>
      <c r="BS149" s="22">
        <v>-28052</v>
      </c>
      <c r="BT149" s="22">
        <v>4.4479638302267448</v>
      </c>
      <c r="BU149" s="22">
        <v>0.25740030463746305</v>
      </c>
      <c r="BV149" s="23">
        <v>13480</v>
      </c>
      <c r="BW149" s="22">
        <v>59057</v>
      </c>
      <c r="BX149" s="22">
        <v>10.36</v>
      </c>
      <c r="BY149" s="22">
        <v>1.0153597554092142</v>
      </c>
      <c r="BZ149" s="25">
        <v>0.2680538555691554</v>
      </c>
      <c r="CA149" s="23">
        <v>5.616296822113559E-2</v>
      </c>
      <c r="CB149" s="23">
        <v>5.6162968221135587</v>
      </c>
      <c r="CC149" s="23">
        <v>0.74945005225557304</v>
      </c>
      <c r="CD149" s="23">
        <v>0.16799821585194843</v>
      </c>
      <c r="CE149" s="23">
        <v>0.12395940006731626</v>
      </c>
      <c r="CF149" s="23">
        <v>1.3881401617250673</v>
      </c>
      <c r="CG149" s="23">
        <f t="shared" si="63"/>
        <v>0.32796483805630094</v>
      </c>
      <c r="CH149" s="26">
        <v>11.56</v>
      </c>
      <c r="CI149" s="26">
        <v>12.07</v>
      </c>
      <c r="CJ149" s="26">
        <v>1.0629578340845103</v>
      </c>
      <c r="CK149" s="26">
        <v>1.0817072700973491</v>
      </c>
      <c r="CL149" s="26">
        <v>-4.2253521126760542E-2</v>
      </c>
      <c r="CM149" s="27">
        <v>13.296884615384608</v>
      </c>
      <c r="CN149" s="27">
        <v>3.681220260646025E-3</v>
      </c>
      <c r="CQ149" s="27">
        <v>67.989575289575299</v>
      </c>
      <c r="CR149" s="27">
        <v>-0.167971536975</v>
      </c>
      <c r="CS149" s="27">
        <v>0.84238461538461584</v>
      </c>
      <c r="CT149" s="27">
        <v>0.91873076923076902</v>
      </c>
      <c r="CU149" s="27">
        <v>-8.3099593921379125E-2</v>
      </c>
      <c r="CV149" s="27">
        <v>0.92230769230769172</v>
      </c>
      <c r="CW149" s="27">
        <v>1.9648758307920116</v>
      </c>
      <c r="CX149" s="36">
        <v>0.56000000000000005</v>
      </c>
      <c r="CY149" s="28">
        <v>0.94</v>
      </c>
      <c r="CZ149" s="29">
        <v>16.52657692</v>
      </c>
      <c r="DA149" s="27">
        <v>0.17782614249273998</v>
      </c>
      <c r="DB149" s="27">
        <v>1.322681365714484</v>
      </c>
      <c r="DC149" s="27">
        <v>1.72976924253802</v>
      </c>
      <c r="DD149" s="27">
        <v>3</v>
      </c>
      <c r="DE149" s="28">
        <v>0.7</v>
      </c>
      <c r="DF149" s="28">
        <v>94.362747999999996</v>
      </c>
      <c r="DG149" s="28">
        <v>4.5471463766249602</v>
      </c>
      <c r="DH149" s="28">
        <v>0.93673899999999999</v>
      </c>
      <c r="DI149" s="28">
        <v>0.69208400000000003</v>
      </c>
      <c r="DJ149" s="27">
        <v>-0.2</v>
      </c>
      <c r="DK149" s="27">
        <v>1.8</v>
      </c>
      <c r="DL149" s="27">
        <v>7.6672365931182819E-3</v>
      </c>
      <c r="DM149" s="27">
        <v>0.75770000000000004</v>
      </c>
      <c r="DN149" s="28">
        <v>0.74250000000000005</v>
      </c>
      <c r="DO149" s="28">
        <v>-6.3682219419924316E-2</v>
      </c>
      <c r="DP149" s="28">
        <f t="shared" si="73"/>
        <v>-0.10225118483412314</v>
      </c>
      <c r="DQ149" s="27">
        <v>9.7799999999999998E-2</v>
      </c>
      <c r="DR149" s="27">
        <v>2.4490842135800685E-2</v>
      </c>
      <c r="DS149" s="27">
        <v>2.77430650961079E-2</v>
      </c>
      <c r="DT149" s="27">
        <v>3.2347817198611614E-2</v>
      </c>
      <c r="DU149" s="30">
        <v>4.6174650000000002</v>
      </c>
      <c r="DV149">
        <v>-0.5</v>
      </c>
      <c r="DW149">
        <v>-0.4</v>
      </c>
      <c r="DX149">
        <v>93.7</v>
      </c>
      <c r="DY149">
        <v>89.8</v>
      </c>
      <c r="DZ149">
        <v>1.6</v>
      </c>
      <c r="EA149">
        <v>1.7</v>
      </c>
      <c r="EB149">
        <v>2.2385109999999999</v>
      </c>
    </row>
    <row r="150" spans="1:132" ht="18">
      <c r="A150" s="14" t="s">
        <v>161</v>
      </c>
      <c r="B150" s="14">
        <v>6</v>
      </c>
      <c r="C150" s="14" t="s">
        <v>147</v>
      </c>
      <c r="D150" s="14" t="s">
        <v>162</v>
      </c>
      <c r="E150" s="14" t="s">
        <v>160</v>
      </c>
      <c r="F150" s="15">
        <v>10163</v>
      </c>
      <c r="G150" s="15">
        <v>4.0070219255786803</v>
      </c>
      <c r="H150" s="16"/>
      <c r="I150" s="16">
        <v>3479.9</v>
      </c>
      <c r="J150" s="16">
        <v>0</v>
      </c>
      <c r="K150" s="16">
        <v>1</v>
      </c>
      <c r="L150" s="17">
        <v>9.5992368214747853E-2</v>
      </c>
      <c r="M150" s="18">
        <v>27</v>
      </c>
      <c r="N150" s="18">
        <v>27</v>
      </c>
      <c r="O150" s="18">
        <v>0.86259199999999991</v>
      </c>
      <c r="P150" s="18">
        <v>1</v>
      </c>
      <c r="Q150" s="18">
        <v>1</v>
      </c>
      <c r="R150" s="18">
        <v>21</v>
      </c>
      <c r="S150" s="18">
        <v>3</v>
      </c>
      <c r="T150" s="19">
        <v>19901</v>
      </c>
      <c r="U150" s="19">
        <v>4.2988748997046988</v>
      </c>
      <c r="V150" s="18">
        <v>47833</v>
      </c>
      <c r="W150" s="20">
        <v>4.6797276198974211</v>
      </c>
      <c r="X150" s="20">
        <v>0.19249699179433935</v>
      </c>
      <c r="Y150" s="20">
        <v>0.33487681029999999</v>
      </c>
      <c r="Z150" s="20">
        <f t="shared" si="60"/>
        <v>-0.47511492563852969</v>
      </c>
      <c r="AA150" s="20">
        <v>0.42591412919999999</v>
      </c>
      <c r="AB150" s="20">
        <v>3343</v>
      </c>
      <c r="AC150" s="20">
        <v>23215</v>
      </c>
      <c r="AD150" s="21">
        <v>10123</v>
      </c>
      <c r="AE150" s="21">
        <f t="shared" si="69"/>
        <v>9.5614557063651739E-2</v>
      </c>
      <c r="AF150" s="21">
        <f t="shared" si="70"/>
        <v>4.0053092368485164</v>
      </c>
      <c r="AG150" s="22">
        <v>5.61049559377745E-3</v>
      </c>
      <c r="AH150" s="22">
        <v>594</v>
      </c>
      <c r="AI150" s="22">
        <v>0.46423102170000002</v>
      </c>
      <c r="AJ150" s="23">
        <v>248487</v>
      </c>
      <c r="AK150" s="23">
        <f t="shared" si="68"/>
        <v>5.3953036728442099</v>
      </c>
      <c r="AL150" s="24">
        <v>0.35259828799999998</v>
      </c>
      <c r="AM150" s="22">
        <f>58044+24974</f>
        <v>83018</v>
      </c>
      <c r="AN150" s="22">
        <f t="shared" si="64"/>
        <v>0.7841281535424518</v>
      </c>
      <c r="AO150" s="23">
        <v>0.16156694601442215</v>
      </c>
      <c r="AP150" s="33">
        <v>2.5736539999999999E-2</v>
      </c>
      <c r="AQ150" s="23">
        <v>0.41055016028744346</v>
      </c>
      <c r="AR150" s="23">
        <v>105873</v>
      </c>
      <c r="AS150" s="23">
        <v>5.0247852193513456</v>
      </c>
      <c r="AT150" s="23">
        <v>5.0373547736634627</v>
      </c>
      <c r="AU150" s="22">
        <v>3.0409999999999999</v>
      </c>
      <c r="AV150" s="22">
        <v>2.3595712099999999</v>
      </c>
      <c r="AW150" s="22">
        <v>10.61</v>
      </c>
      <c r="AX150" s="22">
        <v>79.3</v>
      </c>
      <c r="AY150" s="22">
        <v>1</v>
      </c>
      <c r="AZ150" s="24">
        <v>56441</v>
      </c>
      <c r="BA150" s="24">
        <f t="shared" si="61"/>
        <v>4.7515946998136096</v>
      </c>
      <c r="BB150" s="24">
        <v>17907</v>
      </c>
      <c r="BC150" s="24">
        <f t="shared" si="62"/>
        <v>4.2530228336113369</v>
      </c>
      <c r="BD150" s="24">
        <v>38534</v>
      </c>
      <c r="BE150" s="23">
        <v>9119</v>
      </c>
      <c r="BF150" s="22">
        <f t="shared" si="71"/>
        <v>1270</v>
      </c>
      <c r="BG150" s="23">
        <v>0.3860769113847089</v>
      </c>
      <c r="BH150" s="23">
        <v>8.6131497171139007E-2</v>
      </c>
      <c r="BI150" s="23">
        <v>6.0367767154208954E-2</v>
      </c>
      <c r="BJ150" s="23">
        <v>1.9212990492763298E-2</v>
      </c>
      <c r="BK150" s="23">
        <v>0.42677957511856984</v>
      </c>
      <c r="BL150" s="23">
        <v>6579</v>
      </c>
      <c r="BM150" s="22">
        <v>15551</v>
      </c>
      <c r="BN150" s="22">
        <f t="shared" si="72"/>
        <v>68.5</v>
      </c>
      <c r="BO150" s="22">
        <v>4.1917583213704477</v>
      </c>
      <c r="BP150" s="22">
        <v>0.27552665615421412</v>
      </c>
      <c r="BQ150" s="22">
        <v>7.9238990074471105E-3</v>
      </c>
      <c r="BR150" s="22">
        <v>1.3344844545977452E-3</v>
      </c>
      <c r="BS150" s="22">
        <v>-4592</v>
      </c>
      <c r="BT150" s="22">
        <v>3.6620018793899169</v>
      </c>
      <c r="BU150" s="22">
        <v>4.3372720145835104E-2</v>
      </c>
      <c r="BV150" s="23">
        <v>14017</v>
      </c>
      <c r="BW150" s="22">
        <v>53928</v>
      </c>
      <c r="BX150" s="22">
        <v>14.51</v>
      </c>
      <c r="BY150" s="22">
        <v>1.161667412437736</v>
      </c>
      <c r="BZ150" s="25">
        <v>0.40057915057915061</v>
      </c>
      <c r="CA150" s="23">
        <v>0.12395940006731626</v>
      </c>
      <c r="CB150" s="23">
        <v>12.395940006731626</v>
      </c>
      <c r="CC150" s="23">
        <v>1.0932794656949918</v>
      </c>
      <c r="CD150" s="23">
        <v>5.616296822113559E-2</v>
      </c>
      <c r="CE150" s="23">
        <v>0.27313997209053248</v>
      </c>
      <c r="CF150" s="23">
        <v>1.5453267744202388</v>
      </c>
      <c r="CG150" s="23">
        <f t="shared" si="63"/>
        <v>0.43523539246490872</v>
      </c>
      <c r="CH150" s="26">
        <v>22.5</v>
      </c>
      <c r="CI150" s="26">
        <v>11.56</v>
      </c>
      <c r="CJ150" s="26">
        <v>1.3521825181113625</v>
      </c>
      <c r="CK150" s="26">
        <v>1.0629578340845103</v>
      </c>
      <c r="CL150" s="26">
        <v>0.94636678200692037</v>
      </c>
      <c r="CM150" s="27">
        <v>18.34360153256705</v>
      </c>
      <c r="CN150" s="27">
        <v>0.37954130333231201</v>
      </c>
      <c r="CQ150" s="27">
        <v>77.833846153846167</v>
      </c>
      <c r="CR150" s="27">
        <v>0.14479088628430173</v>
      </c>
      <c r="CS150" s="27">
        <v>0.72605363984674265</v>
      </c>
      <c r="CT150" s="27">
        <v>0.84238461538461584</v>
      </c>
      <c r="CU150" s="27">
        <v>-0.13809722235342442</v>
      </c>
      <c r="CV150" s="27">
        <v>0.78180076628352502</v>
      </c>
      <c r="CW150" s="27">
        <v>1.8930960917710087</v>
      </c>
      <c r="CX150" s="36">
        <v>0.88</v>
      </c>
      <c r="CY150" s="28">
        <v>0.56000000000000005</v>
      </c>
      <c r="CZ150" s="29">
        <v>19.614636019999999</v>
      </c>
      <c r="DA150" s="27">
        <v>0.18685412683753744</v>
      </c>
      <c r="DB150" s="27">
        <v>2.3607257116750975</v>
      </c>
      <c r="DC150" s="27">
        <v>1.322681365714484</v>
      </c>
      <c r="DD150" s="27">
        <v>3</v>
      </c>
      <c r="DE150" s="28">
        <v>0.03</v>
      </c>
      <c r="DF150" s="28">
        <v>97.506146000000001</v>
      </c>
      <c r="DG150" s="28">
        <v>4.5799154119145591</v>
      </c>
      <c r="DH150" s="28">
        <v>0.96040199999999998</v>
      </c>
      <c r="DI150" s="28">
        <v>0.721441</v>
      </c>
      <c r="DJ150" s="27">
        <v>0.9</v>
      </c>
      <c r="DK150" s="27">
        <v>1.8</v>
      </c>
      <c r="DL150" s="27">
        <v>1.679984422560547E-2</v>
      </c>
      <c r="DM150" s="27">
        <v>0.6855</v>
      </c>
      <c r="DN150" s="28">
        <v>0.84760000000000002</v>
      </c>
      <c r="DO150" s="28">
        <v>0.14154882154882151</v>
      </c>
      <c r="DP150" s="28">
        <f t="shared" si="73"/>
        <v>-9.5288372706876123E-2</v>
      </c>
      <c r="DQ150" s="27">
        <v>0.10279999999999989</v>
      </c>
      <c r="DR150" s="27">
        <v>2.77430650961079E-2</v>
      </c>
      <c r="DS150" s="27">
        <v>5.0662060808238797E-2</v>
      </c>
      <c r="DT150" s="27">
        <v>2.4490842135800685E-2</v>
      </c>
      <c r="DU150" s="30">
        <v>4.6191050000000002</v>
      </c>
      <c r="DV150">
        <v>-0.9</v>
      </c>
      <c r="DW150">
        <v>-0.7</v>
      </c>
      <c r="DX150">
        <v>96.2</v>
      </c>
      <c r="DY150">
        <v>92.4</v>
      </c>
      <c r="DZ150">
        <v>2.1</v>
      </c>
      <c r="EA150">
        <v>1.9</v>
      </c>
      <c r="EB150">
        <v>2.1588159999999998</v>
      </c>
    </row>
    <row r="151" spans="1:132" ht="18">
      <c r="A151" s="14" t="s">
        <v>161</v>
      </c>
      <c r="B151" s="14">
        <v>7</v>
      </c>
      <c r="C151" s="14" t="s">
        <v>147</v>
      </c>
      <c r="D151" s="14" t="s">
        <v>162</v>
      </c>
      <c r="E151" s="14" t="s">
        <v>160</v>
      </c>
      <c r="F151" s="15">
        <v>9672</v>
      </c>
      <c r="G151" s="15">
        <v>3.9855162878527155</v>
      </c>
      <c r="H151" s="16"/>
      <c r="I151" s="16">
        <v>4517.1000000000004</v>
      </c>
      <c r="J151" s="16">
        <v>0</v>
      </c>
      <c r="K151" s="16">
        <v>1</v>
      </c>
      <c r="L151" s="17">
        <v>9.6820693521262116E-2</v>
      </c>
      <c r="M151" s="18">
        <v>27</v>
      </c>
      <c r="N151" s="18">
        <v>27</v>
      </c>
      <c r="O151" s="18">
        <v>0.86259199999999991</v>
      </c>
      <c r="P151" s="18">
        <v>1</v>
      </c>
      <c r="Q151" s="18">
        <v>1</v>
      </c>
      <c r="R151" s="18">
        <v>21</v>
      </c>
      <c r="S151" s="18">
        <v>3</v>
      </c>
      <c r="T151" s="19">
        <v>21974</v>
      </c>
      <c r="U151" s="19">
        <v>4.3419091201797677</v>
      </c>
      <c r="V151" s="18">
        <v>49946</v>
      </c>
      <c r="W151" s="20">
        <v>4.6985007128325114</v>
      </c>
      <c r="X151" s="20">
        <v>0.19431594918979905</v>
      </c>
      <c r="Y151" s="20">
        <v>0.3452890119</v>
      </c>
      <c r="Z151" s="20">
        <f t="shared" si="60"/>
        <v>-0.46181724194341106</v>
      </c>
      <c r="AA151" s="20">
        <v>0.48526758869999997</v>
      </c>
      <c r="AB151" s="20">
        <v>4035</v>
      </c>
      <c r="AC151" s="20">
        <v>21959</v>
      </c>
      <c r="AD151" s="21">
        <v>8338</v>
      </c>
      <c r="AE151" s="21">
        <f t="shared" si="69"/>
        <v>8.3466805477696804E-2</v>
      </c>
      <c r="AF151" s="21">
        <f t="shared" si="70"/>
        <v>3.9210618907902788</v>
      </c>
      <c r="AG151" s="22">
        <v>6.6869544326099142E-3</v>
      </c>
      <c r="AH151" s="22">
        <v>668</v>
      </c>
      <c r="AI151" s="22">
        <v>3.8121868929999998</v>
      </c>
      <c r="AJ151" s="23">
        <v>257035</v>
      </c>
      <c r="AK151" s="23">
        <f t="shared" si="68"/>
        <v>5.4099922644671707</v>
      </c>
      <c r="AL151" s="24">
        <v>0.37921513099999998</v>
      </c>
      <c r="AM151" s="22">
        <f>55202+25132</f>
        <v>80334</v>
      </c>
      <c r="AN151" s="22">
        <f t="shared" si="64"/>
        <v>0.80417634339713306</v>
      </c>
      <c r="AO151" s="23">
        <v>0.13505677699927518</v>
      </c>
      <c r="AP151" s="33">
        <v>4.0435066999999998E-2</v>
      </c>
      <c r="AQ151" s="23">
        <v>0.60675816706345653</v>
      </c>
      <c r="AR151" s="23">
        <v>99896</v>
      </c>
      <c r="AS151" s="23">
        <v>4.999548098709397</v>
      </c>
      <c r="AT151" s="23">
        <v>5.0247852193513456</v>
      </c>
      <c r="AU151" s="22">
        <v>3.4740000000000002</v>
      </c>
      <c r="AV151" s="22">
        <v>2.7189448930000002</v>
      </c>
      <c r="AW151" s="22">
        <v>74.573999999999998</v>
      </c>
      <c r="AX151" s="22">
        <v>10.61</v>
      </c>
      <c r="AY151" s="22">
        <v>2</v>
      </c>
      <c r="AZ151" s="24">
        <v>57946</v>
      </c>
      <c r="BA151" s="24">
        <f t="shared" si="61"/>
        <v>4.7630234620789977</v>
      </c>
      <c r="BB151" s="24">
        <v>17818</v>
      </c>
      <c r="BC151" s="24">
        <f t="shared" si="62"/>
        <v>4.2508589545992947</v>
      </c>
      <c r="BD151" s="24">
        <v>40128</v>
      </c>
      <c r="BE151" s="23">
        <v>7826</v>
      </c>
      <c r="BF151" s="22">
        <f t="shared" si="71"/>
        <v>646.5</v>
      </c>
      <c r="BG151" s="23">
        <v>-0.14179186314288847</v>
      </c>
      <c r="BH151" s="23">
        <v>7.8341475134139499E-2</v>
      </c>
      <c r="BI151" s="23">
        <v>8.6131497171139007E-2</v>
      </c>
      <c r="BJ151" s="23">
        <v>1.9212990492763298E-2</v>
      </c>
      <c r="BK151" s="23">
        <v>-9.0443360360044842E-2</v>
      </c>
      <c r="BL151" s="23">
        <v>9119</v>
      </c>
      <c r="BM151" s="22">
        <v>16366</v>
      </c>
      <c r="BN151" s="22">
        <f t="shared" si="72"/>
        <v>407.5</v>
      </c>
      <c r="BO151" s="22">
        <v>4.2139425468400784</v>
      </c>
      <c r="BP151" s="22">
        <v>0.28243537086252718</v>
      </c>
      <c r="BQ151" s="22">
        <v>3.4543573541565287E-3</v>
      </c>
      <c r="BR151" s="22">
        <v>7.9238990074471105E-3</v>
      </c>
      <c r="BS151" s="22">
        <v>-9101</v>
      </c>
      <c r="BT151" s="22">
        <v>3.9590891143673921</v>
      </c>
      <c r="BU151" s="22">
        <v>9.1104748938896446E-2</v>
      </c>
      <c r="BV151" s="23">
        <v>16866</v>
      </c>
      <c r="BW151" s="22">
        <v>53188</v>
      </c>
      <c r="BX151" s="22">
        <v>10.87</v>
      </c>
      <c r="BY151" s="22">
        <v>1.0362295440862945</v>
      </c>
      <c r="BZ151" s="25">
        <v>-0.2508614748449346</v>
      </c>
      <c r="CA151" s="23">
        <v>0.27313997209053248</v>
      </c>
      <c r="CB151" s="23">
        <v>27.313997209053248</v>
      </c>
      <c r="CC151" s="23">
        <v>1.4363852606965082</v>
      </c>
      <c r="CD151" s="23">
        <v>0.12395940006731626</v>
      </c>
      <c r="CE151" s="23">
        <v>0.22768051426072636</v>
      </c>
      <c r="CF151" s="23">
        <v>1.8638334778837815</v>
      </c>
      <c r="CG151" s="23">
        <f t="shared" si="63"/>
        <v>0.62263537637345145</v>
      </c>
      <c r="CH151" s="26">
        <v>40</v>
      </c>
      <c r="CI151" s="26">
        <v>22.5</v>
      </c>
      <c r="CJ151" s="26">
        <v>1.6020599913279623</v>
      </c>
      <c r="CK151" s="26">
        <v>1.3521825181113625</v>
      </c>
      <c r="CL151" s="26">
        <v>0.77777777777777779</v>
      </c>
      <c r="CM151" s="27">
        <v>34.430804597701169</v>
      </c>
      <c r="CN151" s="27">
        <v>0.87699261437690179</v>
      </c>
      <c r="CO151" s="27">
        <v>14.002720000000007</v>
      </c>
      <c r="CQ151" s="27">
        <v>141.16230769230771</v>
      </c>
      <c r="CR151" s="27">
        <v>0.81363654332700808</v>
      </c>
      <c r="CS151" s="27">
        <v>1.4151340996168575</v>
      </c>
      <c r="CT151" s="27">
        <v>0.72605363984674265</v>
      </c>
      <c r="CU151" s="27">
        <v>0.94907651715039654</v>
      </c>
      <c r="CV151" s="27">
        <v>1.549389312977099</v>
      </c>
      <c r="CW151" s="27">
        <v>2.1901605560639821</v>
      </c>
      <c r="CX151" s="36">
        <v>2.34</v>
      </c>
      <c r="CY151" s="28">
        <v>0.88</v>
      </c>
      <c r="CZ151" s="29">
        <v>33.709007630000002</v>
      </c>
      <c r="DA151" s="27">
        <v>0.71856401493398725</v>
      </c>
      <c r="DB151" s="27">
        <v>3.1430399491928545</v>
      </c>
      <c r="DC151" s="27">
        <v>2.3607257116750975</v>
      </c>
      <c r="DD151" s="27">
        <v>3</v>
      </c>
      <c r="DE151" s="28">
        <v>-0.26</v>
      </c>
      <c r="DF151" s="28">
        <v>99.588460999999995</v>
      </c>
      <c r="DG151" s="28">
        <v>4.6010463044653731</v>
      </c>
      <c r="DH151" s="28">
        <v>0.983541</v>
      </c>
      <c r="DI151" s="28">
        <v>0.70962800000000004</v>
      </c>
      <c r="DJ151" s="27">
        <v>2.2000000000000002</v>
      </c>
      <c r="DK151" s="27">
        <v>2</v>
      </c>
      <c r="DL151" s="27">
        <v>4.1965997035105826E-2</v>
      </c>
      <c r="DM151" s="27">
        <v>0.71560000000000001</v>
      </c>
      <c r="DN151" s="28">
        <v>0.75849999999999995</v>
      </c>
      <c r="DO151" s="28">
        <v>-0.10512033978291654</v>
      </c>
      <c r="DP151" s="28">
        <f t="shared" si="73"/>
        <v>4.3909555069292512E-2</v>
      </c>
      <c r="DQ151" s="27">
        <v>0.17789999999999995</v>
      </c>
      <c r="DR151" s="27">
        <v>5.0662060808238797E-2</v>
      </c>
      <c r="DS151" s="27">
        <v>3.802148779895468E-2</v>
      </c>
      <c r="DT151" s="27">
        <v>2.77430650961079E-2</v>
      </c>
      <c r="DU151" s="30">
        <v>5.7984980000000004</v>
      </c>
      <c r="DV151">
        <v>-1</v>
      </c>
      <c r="DW151">
        <v>0.7</v>
      </c>
      <c r="DX151">
        <v>98</v>
      </c>
      <c r="DY151">
        <v>95</v>
      </c>
      <c r="DZ151">
        <v>1.6</v>
      </c>
      <c r="EA151">
        <v>1.7</v>
      </c>
      <c r="EB151">
        <v>2.0603549999999999</v>
      </c>
    </row>
    <row r="152" spans="1:132" ht="18">
      <c r="A152" s="14" t="s">
        <v>161</v>
      </c>
      <c r="B152" s="14">
        <v>8</v>
      </c>
      <c r="C152" s="14" t="s">
        <v>147</v>
      </c>
      <c r="D152" s="14" t="s">
        <v>162</v>
      </c>
      <c r="E152" s="14" t="s">
        <v>160</v>
      </c>
      <c r="F152" s="15">
        <v>10609</v>
      </c>
      <c r="G152" s="15">
        <v>4.025674449410344</v>
      </c>
      <c r="H152" s="15">
        <v>8264</v>
      </c>
      <c r="I152" s="16">
        <v>2963.355</v>
      </c>
      <c r="J152" s="16">
        <v>19656</v>
      </c>
      <c r="K152" s="16">
        <v>1</v>
      </c>
      <c r="L152" s="17">
        <v>9.8103402039929358E-2</v>
      </c>
      <c r="M152" s="18">
        <v>27</v>
      </c>
      <c r="N152" s="18">
        <v>27</v>
      </c>
      <c r="O152" s="18">
        <v>0.86259199999999991</v>
      </c>
      <c r="P152" s="18">
        <v>1</v>
      </c>
      <c r="Q152" s="18">
        <v>1</v>
      </c>
      <c r="R152" s="18">
        <v>21</v>
      </c>
      <c r="S152" s="18">
        <v>3</v>
      </c>
      <c r="T152" s="19">
        <v>22786</v>
      </c>
      <c r="U152" s="19">
        <v>4.3576680930436336</v>
      </c>
      <c r="V152" s="18">
        <v>49849</v>
      </c>
      <c r="W152" s="20">
        <v>4.6976564505345761</v>
      </c>
      <c r="X152" s="20">
        <v>0.19364399866369364</v>
      </c>
      <c r="Y152" s="20">
        <v>0.36998183470000001</v>
      </c>
      <c r="Z152" s="20">
        <f t="shared" si="60"/>
        <v>-0.43181959832007927</v>
      </c>
      <c r="AA152" s="20">
        <v>0.48998721769999998</v>
      </c>
      <c r="AB152" s="20">
        <v>3450</v>
      </c>
      <c r="AC152" s="20">
        <v>24441</v>
      </c>
      <c r="AD152" s="21">
        <v>10123</v>
      </c>
      <c r="AE152" s="21">
        <f t="shared" si="69"/>
        <v>9.3609269379791193E-2</v>
      </c>
      <c r="AF152" s="21">
        <f t="shared" si="70"/>
        <v>4.0053092368485164</v>
      </c>
      <c r="AG152" s="22">
        <v>6.4083002746414403E-3</v>
      </c>
      <c r="AH152" s="22">
        <v>693</v>
      </c>
      <c r="AI152" s="22">
        <v>3.670140891</v>
      </c>
      <c r="AJ152" s="23">
        <v>257426</v>
      </c>
      <c r="AK152" s="23">
        <f t="shared" si="68"/>
        <v>5.4106524084824406</v>
      </c>
      <c r="AL152" s="24">
        <v>0.40164989200000001</v>
      </c>
      <c r="AM152" s="22">
        <f>56931+26936</f>
        <v>83867</v>
      </c>
      <c r="AN152" s="22">
        <f t="shared" si="64"/>
        <v>0.77553379384322318</v>
      </c>
      <c r="AO152" s="23">
        <v>0.13990587156933598</v>
      </c>
      <c r="AP152" s="33">
        <v>1.4762178000000001E-2</v>
      </c>
      <c r="AQ152" s="23">
        <v>0.169150437676723</v>
      </c>
      <c r="AR152" s="23">
        <v>108141</v>
      </c>
      <c r="AS152" s="23">
        <v>5.0339903812602635</v>
      </c>
      <c r="AT152" s="23">
        <v>4.999548098709397</v>
      </c>
      <c r="AU152" s="22">
        <v>2.6429999999999998</v>
      </c>
      <c r="AV152" s="22">
        <v>2.7317706190000002</v>
      </c>
      <c r="AW152" s="22">
        <v>89.088999999999999</v>
      </c>
      <c r="AX152" s="22">
        <v>74.573999999999998</v>
      </c>
      <c r="AY152" s="22">
        <v>2</v>
      </c>
      <c r="AZ152" s="24">
        <v>56731</v>
      </c>
      <c r="BA152" s="24">
        <f t="shared" si="61"/>
        <v>4.7538204389613918</v>
      </c>
      <c r="BB152" s="24">
        <v>16717</v>
      </c>
      <c r="BC152" s="24">
        <f t="shared" si="62"/>
        <v>4.2231583424603443</v>
      </c>
      <c r="BD152" s="24">
        <v>40014</v>
      </c>
      <c r="BE152" s="23">
        <v>7937</v>
      </c>
      <c r="BF152" s="22">
        <f t="shared" si="71"/>
        <v>55.5</v>
      </c>
      <c r="BG152" s="23">
        <v>1.4183490927676973E-2</v>
      </c>
      <c r="BH152" s="23">
        <v>7.339491959571301E-2</v>
      </c>
      <c r="BI152" s="23">
        <v>7.8341475134139499E-2</v>
      </c>
      <c r="BJ152" s="23">
        <v>1.9212990492763298E-2</v>
      </c>
      <c r="BK152" s="23">
        <v>-6.3140954774680888E-2</v>
      </c>
      <c r="BL152" s="23">
        <v>7826</v>
      </c>
      <c r="BM152" s="22">
        <v>16148</v>
      </c>
      <c r="BN152" s="22">
        <f t="shared" si="72"/>
        <v>109</v>
      </c>
      <c r="BO152" s="22">
        <v>4.2081187407382767</v>
      </c>
      <c r="BP152" s="22">
        <v>0.28464155400045832</v>
      </c>
      <c r="BQ152" s="22">
        <v>1.1030915689655696E-3</v>
      </c>
      <c r="BR152" s="22">
        <v>3.4543573541565287E-3</v>
      </c>
      <c r="BS152" s="22">
        <v>-9300</v>
      </c>
      <c r="BT152" s="22">
        <v>3.9684829485539352</v>
      </c>
      <c r="BU152" s="22">
        <v>8.5998834854495526E-2</v>
      </c>
      <c r="BV152" s="23">
        <v>11581</v>
      </c>
      <c r="BW152" s="22">
        <v>66311</v>
      </c>
      <c r="BX152" s="22">
        <v>14.22</v>
      </c>
      <c r="BY152" s="22">
        <v>1.1528995963937476</v>
      </c>
      <c r="BZ152" s="25">
        <v>0.30818767249310042</v>
      </c>
      <c r="CA152" s="23">
        <v>0.22768051426072636</v>
      </c>
      <c r="CB152" s="23">
        <v>22.768051426072635</v>
      </c>
      <c r="CC152" s="23">
        <v>1.3573258636798766</v>
      </c>
      <c r="CD152" s="23">
        <v>0.27313997209053248</v>
      </c>
      <c r="CE152" s="23">
        <v>5.2225758931015019E-2</v>
      </c>
      <c r="CF152" s="23">
        <v>1.4656669297553275</v>
      </c>
      <c r="CG152" s="23">
        <f t="shared" si="63"/>
        <v>0.38231038103156673</v>
      </c>
      <c r="CH152" s="26">
        <v>21.68</v>
      </c>
      <c r="CI152" s="26">
        <v>40</v>
      </c>
      <c r="CJ152" s="26">
        <v>1.3360592778663494</v>
      </c>
      <c r="CK152" s="26">
        <v>1.6020599913279623</v>
      </c>
      <c r="CL152" s="26">
        <v>-0.45800000000000002</v>
      </c>
      <c r="CM152" s="27">
        <v>32.806781609195411</v>
      </c>
      <c r="CN152" s="27">
        <v>-4.7167732717294325E-2</v>
      </c>
      <c r="CO152" s="27">
        <v>14.687391304347829</v>
      </c>
      <c r="CP152" s="27">
        <v>4.8895593452402179E-2</v>
      </c>
      <c r="CQ152" s="27">
        <v>128.33115384615388</v>
      </c>
      <c r="CR152" s="27">
        <v>-9.0896458522922177E-2</v>
      </c>
      <c r="CS152" s="27">
        <v>1.3546743295019157</v>
      </c>
      <c r="CT152" s="27">
        <v>1.4151340996168575</v>
      </c>
      <c r="CU152" s="27">
        <v>-4.272370380397951E-2</v>
      </c>
      <c r="CV152" s="27">
        <v>1.5608045977011498</v>
      </c>
      <c r="CW152" s="27">
        <v>2.1933485357004661</v>
      </c>
      <c r="CX152" s="36">
        <v>1.03</v>
      </c>
      <c r="CY152" s="28">
        <v>2.34</v>
      </c>
      <c r="CZ152" s="29">
        <v>33.580881230000003</v>
      </c>
      <c r="DA152" s="27">
        <v>-3.8009543741646867E-3</v>
      </c>
      <c r="DB152" s="27">
        <v>1.4102002336892525</v>
      </c>
      <c r="DC152" s="27">
        <v>3.1430399491928545</v>
      </c>
      <c r="DD152" s="27">
        <v>3</v>
      </c>
      <c r="DE152" s="28">
        <v>2.76</v>
      </c>
      <c r="DF152" s="28">
        <v>99.839950000000002</v>
      </c>
      <c r="DG152" s="28">
        <v>4.6035684038197102</v>
      </c>
      <c r="DH152" s="28">
        <v>0.992143</v>
      </c>
      <c r="DI152" s="28">
        <v>0.73755499999999996</v>
      </c>
      <c r="DJ152" s="27">
        <v>3.7</v>
      </c>
      <c r="DK152" s="27">
        <v>2.6</v>
      </c>
      <c r="DL152" s="27">
        <v>2.4369778879479467E-2</v>
      </c>
      <c r="DM152" s="27">
        <v>0.69779999999999998</v>
      </c>
      <c r="DN152" s="28">
        <v>0.68400000000000005</v>
      </c>
      <c r="DO152" s="28">
        <v>-9.8220171390902972E-2</v>
      </c>
      <c r="DP152" s="28">
        <f t="shared" si="73"/>
        <v>-2.487423141419793E-2</v>
      </c>
      <c r="DQ152" s="27">
        <v>0.13560000000000005</v>
      </c>
      <c r="DR152" s="27">
        <v>3.802148779895468E-2</v>
      </c>
      <c r="DS152" s="27">
        <v>3.4239891893164551E-2</v>
      </c>
      <c r="DT152" s="27">
        <v>5.0662060808238797E-2</v>
      </c>
      <c r="DU152" s="30">
        <v>9.2708490000000001</v>
      </c>
      <c r="DV152">
        <v>2.2000000000000002</v>
      </c>
      <c r="DW152">
        <v>2.6</v>
      </c>
      <c r="DX152">
        <v>98.8</v>
      </c>
      <c r="DY152">
        <v>96.9</v>
      </c>
      <c r="DZ152">
        <v>1.3</v>
      </c>
      <c r="EA152">
        <v>2.5</v>
      </c>
      <c r="EB152">
        <v>1.1868369999999999</v>
      </c>
    </row>
    <row r="153" spans="1:132" ht="18">
      <c r="A153" s="14" t="s">
        <v>161</v>
      </c>
      <c r="B153" s="14">
        <v>9</v>
      </c>
      <c r="C153" s="14" t="s">
        <v>147</v>
      </c>
      <c r="D153" s="14" t="s">
        <v>162</v>
      </c>
      <c r="E153" s="14" t="s">
        <v>160</v>
      </c>
      <c r="F153" s="15">
        <v>12151</v>
      </c>
      <c r="G153" s="15">
        <v>4.0846120208652517</v>
      </c>
      <c r="H153" s="15">
        <v>7375</v>
      </c>
      <c r="I153" s="15">
        <v>2040</v>
      </c>
      <c r="J153" s="16">
        <v>11122</v>
      </c>
      <c r="K153" s="16">
        <v>1</v>
      </c>
      <c r="L153" s="17">
        <v>9.3631284916201124E-2</v>
      </c>
      <c r="M153" s="18">
        <v>27</v>
      </c>
      <c r="N153" s="18">
        <v>27</v>
      </c>
      <c r="O153" s="18">
        <v>0.86259199999999991</v>
      </c>
      <c r="P153" s="18">
        <v>1</v>
      </c>
      <c r="Q153" s="18">
        <v>1</v>
      </c>
      <c r="R153" s="18">
        <v>21</v>
      </c>
      <c r="S153" s="18">
        <v>3</v>
      </c>
      <c r="T153" s="19">
        <v>25326</v>
      </c>
      <c r="U153" s="19">
        <v>4.403566602538052</v>
      </c>
      <c r="V153" s="18">
        <v>51606</v>
      </c>
      <c r="W153" s="20">
        <v>4.7127001980497907</v>
      </c>
      <c r="X153" s="20">
        <v>0.19181035283797998</v>
      </c>
      <c r="Y153" s="20">
        <v>0.5109647397</v>
      </c>
      <c r="Z153" s="20">
        <f t="shared" si="60"/>
        <v>-0.29160906832335914</v>
      </c>
      <c r="AA153" s="20">
        <v>0.51326684229999997</v>
      </c>
      <c r="AB153" s="20">
        <v>5455</v>
      </c>
      <c r="AC153" s="20">
        <v>45459</v>
      </c>
      <c r="AD153" s="21">
        <v>8129</v>
      </c>
      <c r="AE153" s="21">
        <f t="shared" si="69"/>
        <v>6.2639183201695245E-2</v>
      </c>
      <c r="AF153" s="21">
        <f t="shared" si="70"/>
        <v>3.9100371235530509</v>
      </c>
      <c r="AG153" s="22">
        <v>6.1413985744557887E-3</v>
      </c>
      <c r="AH153" s="22">
        <v>797</v>
      </c>
      <c r="AI153" s="22">
        <v>2.4488069690000001</v>
      </c>
      <c r="AJ153" s="23">
        <f>AJ154-17098</f>
        <v>269047</v>
      </c>
      <c r="AK153" s="23">
        <f t="shared" si="68"/>
        <v>5.4298281538227302</v>
      </c>
      <c r="AL153" s="24">
        <v>0.41697811899999998</v>
      </c>
      <c r="AM153" s="22">
        <f>64599+33492</f>
        <v>98091</v>
      </c>
      <c r="AN153" s="22">
        <f t="shared" si="64"/>
        <v>0.75585436332113276</v>
      </c>
      <c r="AO153" s="23">
        <v>0.16582972487939807</v>
      </c>
      <c r="AP153" s="33">
        <v>5.6655500000000005E-4</v>
      </c>
      <c r="AQ153" s="23">
        <v>-1.2467579233344663</v>
      </c>
      <c r="AR153" s="23">
        <v>129775</v>
      </c>
      <c r="AS153" s="23">
        <v>5.1131910375508864</v>
      </c>
      <c r="AT153" s="23">
        <v>5.0339903812602635</v>
      </c>
      <c r="AU153" s="22">
        <v>2.222</v>
      </c>
      <c r="AV153" s="22">
        <v>1.928418129</v>
      </c>
      <c r="AW153" s="22">
        <v>77.587999999999994</v>
      </c>
      <c r="AX153" s="22">
        <v>89.088999999999999</v>
      </c>
      <c r="AY153" s="22">
        <v>2</v>
      </c>
      <c r="AZ153" s="24">
        <v>60737</v>
      </c>
      <c r="BA153" s="24">
        <f t="shared" si="61"/>
        <v>4.7834533368805339</v>
      </c>
      <c r="BB153" s="24">
        <v>17606</v>
      </c>
      <c r="BC153" s="24">
        <f t="shared" si="62"/>
        <v>4.2456606975202593</v>
      </c>
      <c r="BD153" s="24">
        <v>43131</v>
      </c>
      <c r="BE153" s="23">
        <v>10072</v>
      </c>
      <c r="BF153" s="22">
        <f t="shared" si="71"/>
        <v>1067.5</v>
      </c>
      <c r="BG153" s="23">
        <v>0.26899332241401031</v>
      </c>
      <c r="BH153" s="23">
        <v>7.7611250240801385E-2</v>
      </c>
      <c r="BI153" s="23">
        <v>7.339491959571301E-2</v>
      </c>
      <c r="BJ153" s="23">
        <v>1.9212990492763298E-2</v>
      </c>
      <c r="BK153" s="23">
        <v>5.7447173023875774E-2</v>
      </c>
      <c r="BL153" s="23">
        <v>7937</v>
      </c>
      <c r="BM153" s="22">
        <v>16672</v>
      </c>
      <c r="BN153" s="22">
        <f t="shared" si="72"/>
        <v>262</v>
      </c>
      <c r="BO153" s="22">
        <v>4.2219877016194305</v>
      </c>
      <c r="BP153" s="22">
        <v>0.27449495365263349</v>
      </c>
      <c r="BQ153" s="22">
        <v>5.0733001739124151E-3</v>
      </c>
      <c r="BR153" s="22">
        <v>1.1030915689655696E-3</v>
      </c>
      <c r="BS153" s="22">
        <v>15861</v>
      </c>
      <c r="BT153" s="22">
        <v>4.2003305651247738</v>
      </c>
      <c r="BU153" s="22">
        <v>0.12221922558273936</v>
      </c>
      <c r="BV153" s="23">
        <v>10613</v>
      </c>
      <c r="BW153" s="22">
        <v>61100</v>
      </c>
      <c r="BX153" s="22">
        <v>13.2</v>
      </c>
      <c r="BY153" s="22">
        <v>1.1205739312058498</v>
      </c>
      <c r="BZ153" s="25">
        <v>-7.1729957805907268E-2</v>
      </c>
      <c r="CA153" s="23">
        <v>5.2225758931015019E-2</v>
      </c>
      <c r="CB153" s="23">
        <v>5.2225758931015021</v>
      </c>
      <c r="CC153" s="23">
        <v>0.71788475975157318</v>
      </c>
      <c r="CD153" s="23">
        <v>0.22768051426072636</v>
      </c>
      <c r="CE153" s="23">
        <v>9.4541820773390697E-2</v>
      </c>
      <c r="CF153" s="23">
        <v>1.3529839883551673</v>
      </c>
      <c r="CG153" s="23">
        <f t="shared" si="63"/>
        <v>0.30231251493914929</v>
      </c>
      <c r="CH153" s="26">
        <v>17.75</v>
      </c>
      <c r="CI153" s="26">
        <v>21.68</v>
      </c>
      <c r="CJ153" s="26">
        <v>1.249198357391113</v>
      </c>
      <c r="CK153" s="26">
        <v>1.3360592778663494</v>
      </c>
      <c r="CL153" s="26">
        <v>-0.18127306273062729</v>
      </c>
      <c r="CM153" s="27">
        <v>23.674061302682002</v>
      </c>
      <c r="CN153" s="27">
        <v>-0.27837903806917774</v>
      </c>
      <c r="CO153" s="27">
        <v>13.172845849802364</v>
      </c>
      <c r="CP153" s="27">
        <v>-0.10311875153058132</v>
      </c>
      <c r="CQ153" s="27">
        <v>93.814615384615436</v>
      </c>
      <c r="CR153" s="27">
        <v>-0.26896460779054171</v>
      </c>
      <c r="CS153" s="27">
        <v>1.0575095785440605</v>
      </c>
      <c r="CT153" s="27">
        <v>1.3546743295019157</v>
      </c>
      <c r="CU153" s="27">
        <v>-0.21936250247475808</v>
      </c>
      <c r="CV153" s="27">
        <v>1.2699233716475098</v>
      </c>
      <c r="CW153" s="27">
        <v>2.1037775160152683</v>
      </c>
      <c r="CX153" s="36">
        <v>0.92</v>
      </c>
      <c r="CY153" s="28">
        <v>1.03</v>
      </c>
      <c r="CZ153" s="29">
        <v>26.404674329999999</v>
      </c>
      <c r="DA153" s="27">
        <v>-0.21369918349816944</v>
      </c>
      <c r="DB153" s="27">
        <v>3.3676575479931978</v>
      </c>
      <c r="DC153" s="27">
        <v>1.4102002336892525</v>
      </c>
      <c r="DD153" s="27">
        <v>3</v>
      </c>
      <c r="DE153" s="28">
        <v>3.44</v>
      </c>
      <c r="DF153" s="28">
        <v>100</v>
      </c>
      <c r="DG153" s="28">
        <v>4.6051701859880918</v>
      </c>
      <c r="DH153" s="28">
        <v>1</v>
      </c>
      <c r="DI153" s="28">
        <v>0.68859899999999996</v>
      </c>
      <c r="DJ153" s="27">
        <v>4.0999999999999996</v>
      </c>
      <c r="DK153" s="27">
        <v>2.5</v>
      </c>
      <c r="DL153" s="27">
        <v>2.4833477735949187E-2</v>
      </c>
      <c r="DM153" s="27">
        <v>0.74709999999999999</v>
      </c>
      <c r="DN153" s="28">
        <v>0.71719999999999995</v>
      </c>
      <c r="DO153" s="28">
        <v>4.8538011695906276E-2</v>
      </c>
      <c r="DP153" s="28">
        <f t="shared" si="73"/>
        <v>7.0650616222413323E-2</v>
      </c>
      <c r="DQ153" s="27">
        <v>0.14990000000000003</v>
      </c>
      <c r="DR153" s="27">
        <v>3.4239891893164551E-2</v>
      </c>
      <c r="DS153" s="27">
        <v>2.4180879115385762E-2</v>
      </c>
      <c r="DT153" s="27">
        <v>3.802148779895468E-2</v>
      </c>
      <c r="DU153" s="30">
        <v>9.6228090000000002</v>
      </c>
      <c r="DV153">
        <v>2.7</v>
      </c>
      <c r="DW153">
        <v>2.9</v>
      </c>
      <c r="DX153">
        <v>100</v>
      </c>
      <c r="DY153">
        <v>100</v>
      </c>
      <c r="DZ153">
        <v>0.2</v>
      </c>
      <c r="EA153">
        <v>2</v>
      </c>
      <c r="EB153">
        <v>1.2855829999999999</v>
      </c>
    </row>
    <row r="154" spans="1:132" ht="18">
      <c r="A154" s="14" t="s">
        <v>161</v>
      </c>
      <c r="B154" s="14">
        <v>10</v>
      </c>
      <c r="C154" s="14" t="s">
        <v>147</v>
      </c>
      <c r="D154" s="14" t="s">
        <v>162</v>
      </c>
      <c r="E154" s="14" t="s">
        <v>160</v>
      </c>
      <c r="F154" s="15">
        <v>24290</v>
      </c>
      <c r="G154" s="15">
        <v>4.3854275148051309</v>
      </c>
      <c r="H154" s="15">
        <v>6820</v>
      </c>
      <c r="I154" s="15">
        <v>2140</v>
      </c>
      <c r="J154" s="16">
        <v>12422</v>
      </c>
      <c r="K154" s="16">
        <v>1</v>
      </c>
      <c r="L154" s="17">
        <v>0.2246141611414727</v>
      </c>
      <c r="M154" s="18">
        <v>27</v>
      </c>
      <c r="N154" s="18">
        <v>27</v>
      </c>
      <c r="O154" s="18">
        <v>0.86259199999999991</v>
      </c>
      <c r="P154" s="18">
        <v>1</v>
      </c>
      <c r="Q154" s="18">
        <v>1</v>
      </c>
      <c r="R154" s="18">
        <v>21</v>
      </c>
      <c r="S154" s="18">
        <v>3</v>
      </c>
      <c r="T154" s="19">
        <v>28830</v>
      </c>
      <c r="U154" s="19">
        <v>4.4598446423882079</v>
      </c>
      <c r="V154" s="18">
        <v>60909</v>
      </c>
      <c r="W154" s="20">
        <v>4.7846814693413986</v>
      </c>
      <c r="X154" s="20">
        <v>0.21286061262646561</v>
      </c>
      <c r="Y154" s="20">
        <v>0.50394405980000001</v>
      </c>
      <c r="Z154" s="20">
        <f t="shared" si="60"/>
        <v>-0.2976176696428291</v>
      </c>
      <c r="AA154" s="20">
        <v>0.53428110510000004</v>
      </c>
      <c r="AB154" s="20">
        <v>5299</v>
      </c>
      <c r="AC154" s="20">
        <v>43890</v>
      </c>
      <c r="AD154" s="21">
        <v>8524</v>
      </c>
      <c r="AE154" s="21">
        <f t="shared" si="69"/>
        <v>7.8823018096744066E-2</v>
      </c>
      <c r="AF154" s="21">
        <f t="shared" si="70"/>
        <v>3.9306434410421645</v>
      </c>
      <c r="AG154" s="22">
        <v>9.0899843722547415E-3</v>
      </c>
      <c r="AH154" s="22">
        <v>983</v>
      </c>
      <c r="AI154" s="22">
        <v>2.2309096880000001</v>
      </c>
      <c r="AJ154" s="23">
        <v>286145</v>
      </c>
      <c r="AK154" s="23">
        <f t="shared" si="68"/>
        <v>5.4565861615972606</v>
      </c>
      <c r="AL154" s="24">
        <v>0.45880611700000001</v>
      </c>
      <c r="AM154" s="22">
        <f>69662+32578</f>
        <v>102240</v>
      </c>
      <c r="AN154" s="22">
        <f t="shared" si="64"/>
        <v>0.94543235220684108</v>
      </c>
      <c r="AO154" s="23">
        <v>9.8461097760873376E-2</v>
      </c>
      <c r="AP154" s="33">
        <v>2.2544279E-2</v>
      </c>
      <c r="AQ154" s="23">
        <v>0.35303635047299414</v>
      </c>
      <c r="AR154" s="23">
        <v>108141</v>
      </c>
      <c r="AS154" s="23">
        <v>5.0339903812602635</v>
      </c>
      <c r="AT154" s="23">
        <v>5.1131910375508864</v>
      </c>
      <c r="AU154" s="22">
        <v>3.15</v>
      </c>
      <c r="AV154" s="22">
        <v>2.0739509909999998</v>
      </c>
      <c r="AW154" s="22">
        <v>61.088999999999999</v>
      </c>
      <c r="AX154" s="22">
        <v>77.587999999999994</v>
      </c>
      <c r="AY154" s="22">
        <v>2</v>
      </c>
      <c r="AZ154" s="24">
        <v>62837</v>
      </c>
      <c r="BA154" s="24">
        <f t="shared" si="61"/>
        <v>4.7982154425272814</v>
      </c>
      <c r="BB154" s="24">
        <v>18256</v>
      </c>
      <c r="BC154" s="24">
        <f t="shared" si="62"/>
        <v>4.2614056270741392</v>
      </c>
      <c r="BD154" s="24">
        <v>44581</v>
      </c>
      <c r="BE154" s="23">
        <v>6187</v>
      </c>
      <c r="BF154" s="22">
        <f t="shared" si="71"/>
        <v>1942.5</v>
      </c>
      <c r="BG154" s="23">
        <v>-0.3857227958697379</v>
      </c>
      <c r="BH154" s="23">
        <v>5.7212343144598256E-2</v>
      </c>
      <c r="BI154" s="23">
        <v>7.7611250240801385E-2</v>
      </c>
      <c r="BJ154" s="23">
        <v>1.9212990492763298E-2</v>
      </c>
      <c r="BK154" s="23">
        <v>-0.26283440909548861</v>
      </c>
      <c r="BL154" s="23">
        <v>10072</v>
      </c>
      <c r="BM154" s="22">
        <v>17483</v>
      </c>
      <c r="BN154" s="22">
        <f t="shared" si="72"/>
        <v>405.5</v>
      </c>
      <c r="BO154" s="22">
        <v>4.2426159575692655</v>
      </c>
      <c r="BP154" s="22">
        <v>0.27822779572544837</v>
      </c>
      <c r="BQ154" s="22">
        <v>1.8664210364074396E-3</v>
      </c>
      <c r="BR154" s="22">
        <v>5.0733001739124151E-3</v>
      </c>
      <c r="BS154" s="22">
        <v>12497</v>
      </c>
      <c r="BT154" s="22">
        <v>4.0968057698227174</v>
      </c>
      <c r="BU154" s="22">
        <v>0.11556209023404629</v>
      </c>
      <c r="BV154" s="23">
        <v>7585</v>
      </c>
      <c r="BW154" s="22">
        <v>56791</v>
      </c>
      <c r="BX154" s="22">
        <v>11.47</v>
      </c>
      <c r="BY154" s="22">
        <v>1.0595634179012676</v>
      </c>
      <c r="BZ154" s="25">
        <v>-0.13106060606060596</v>
      </c>
      <c r="CA154" s="23">
        <v>9.4541820773390697E-2</v>
      </c>
      <c r="CB154" s="23">
        <v>9.4541820773390697</v>
      </c>
      <c r="CC154" s="23">
        <v>0.97562396209024826</v>
      </c>
      <c r="CD154" s="23">
        <v>5.2225758931015019E-2</v>
      </c>
      <c r="CE154" s="23">
        <v>0.12394112423341876</v>
      </c>
      <c r="CF154" s="23">
        <v>1.4995730145175061</v>
      </c>
      <c r="CG154" s="23">
        <f t="shared" si="63"/>
        <v>0.40518041059734444</v>
      </c>
      <c r="CH154" s="26">
        <v>23.4</v>
      </c>
      <c r="CI154" s="26">
        <v>17.75</v>
      </c>
      <c r="CJ154" s="26">
        <v>1.3692158574101427</v>
      </c>
      <c r="CK154" s="26">
        <v>1.249198357391113</v>
      </c>
      <c r="CL154" s="26">
        <v>0.31830985915492949</v>
      </c>
      <c r="CM154" s="27">
        <v>25.275999999999993</v>
      </c>
      <c r="CN154" s="27">
        <v>6.7666408261623831E-2</v>
      </c>
      <c r="CO154" s="27">
        <v>14.393934426229498</v>
      </c>
      <c r="CP154" s="27">
        <v>9.2697401180433139E-2</v>
      </c>
      <c r="CQ154" s="27">
        <v>94.493822393822356</v>
      </c>
      <c r="CR154" s="27">
        <v>7.2398848134946573E-3</v>
      </c>
      <c r="CS154" s="27">
        <v>1.0720384615384604</v>
      </c>
      <c r="CT154" s="27">
        <v>1.0575095785440605</v>
      </c>
      <c r="CU154" s="27">
        <v>1.37387720065881E-2</v>
      </c>
      <c r="CV154" s="27">
        <v>1.268846153846154</v>
      </c>
      <c r="CW154" s="27">
        <v>2.1034089675745258</v>
      </c>
      <c r="CX154" s="36">
        <v>0.92</v>
      </c>
      <c r="CY154" s="28">
        <v>0.92</v>
      </c>
      <c r="CZ154" s="29">
        <v>29.99596154</v>
      </c>
      <c r="DA154" s="27">
        <v>0.13600952487112158</v>
      </c>
      <c r="DB154" s="27">
        <v>1.9709466682529033</v>
      </c>
      <c r="DC154" s="27">
        <v>3.3676575479931978</v>
      </c>
      <c r="DD154" s="27">
        <v>3</v>
      </c>
      <c r="DE154" s="28">
        <v>4.05</v>
      </c>
      <c r="DF154" s="28">
        <v>100.084711</v>
      </c>
      <c r="DG154" s="28">
        <v>4.6060169373929138</v>
      </c>
      <c r="DH154" s="28">
        <v>1.0115620000000001</v>
      </c>
      <c r="DI154" s="28">
        <v>0.73416199999999998</v>
      </c>
      <c r="DJ154" s="27">
        <v>5.4</v>
      </c>
      <c r="DK154" s="27">
        <v>2.7</v>
      </c>
      <c r="DL154" s="27">
        <v>1.6688062333233E-2</v>
      </c>
      <c r="DM154" s="27">
        <v>0.77139999999999997</v>
      </c>
      <c r="DN154" s="28">
        <v>0.69699999999999995</v>
      </c>
      <c r="DO154" s="28">
        <v>-2.8165086447295033E-2</v>
      </c>
      <c r="DP154" s="28">
        <f>(DM154-DM153)/DM153</f>
        <v>3.2525766296345855E-2</v>
      </c>
      <c r="DQ154" s="27">
        <v>0.10270000000000001</v>
      </c>
      <c r="DR154" s="27">
        <v>2.4180879115385762E-2</v>
      </c>
      <c r="DS154" s="27">
        <v>2.0079372103467861E-2</v>
      </c>
      <c r="DT154" s="27">
        <v>3.4239891893164551E-2</v>
      </c>
      <c r="DU154" s="30">
        <v>8.9420310000000001</v>
      </c>
      <c r="DV154">
        <v>2.2000000000000002</v>
      </c>
      <c r="DW154">
        <v>2.4</v>
      </c>
      <c r="DX154">
        <v>102.1</v>
      </c>
      <c r="DY154">
        <v>102.1</v>
      </c>
      <c r="DZ154">
        <v>0.9</v>
      </c>
      <c r="EA154">
        <v>0.7</v>
      </c>
      <c r="EB154">
        <v>1.494866</v>
      </c>
    </row>
    <row r="155" spans="1:132" ht="18">
      <c r="A155" s="14" t="s">
        <v>161</v>
      </c>
      <c r="B155" s="14">
        <v>11</v>
      </c>
      <c r="C155" s="14" t="s">
        <v>147</v>
      </c>
      <c r="D155" s="14" t="s">
        <v>162</v>
      </c>
      <c r="E155" s="14" t="s">
        <v>160</v>
      </c>
      <c r="F155" s="15">
        <v>26185</v>
      </c>
      <c r="G155" s="15">
        <v>4.4180525782375044</v>
      </c>
      <c r="H155" s="15">
        <v>9917</v>
      </c>
      <c r="I155" s="15">
        <v>3593</v>
      </c>
      <c r="J155" s="16">
        <v>25721</v>
      </c>
      <c r="K155" s="16">
        <v>1</v>
      </c>
      <c r="L155" s="17">
        <v>0.20177540782751419</v>
      </c>
      <c r="M155" s="18">
        <v>27</v>
      </c>
      <c r="N155" s="18">
        <v>27</v>
      </c>
      <c r="O155" s="18">
        <v>0.86259199999999991</v>
      </c>
      <c r="P155" s="18">
        <v>1</v>
      </c>
      <c r="Q155" s="18">
        <v>1</v>
      </c>
      <c r="R155" s="18">
        <v>21</v>
      </c>
      <c r="S155" s="18">
        <v>3</v>
      </c>
      <c r="T155" s="19">
        <v>30223</v>
      </c>
      <c r="U155" s="19">
        <v>4.4803375711472837</v>
      </c>
      <c r="V155" s="18">
        <v>4612</v>
      </c>
      <c r="W155" s="20">
        <v>3.6638892986226614</v>
      </c>
      <c r="X155" s="20">
        <v>3.4628264231976333E-2</v>
      </c>
      <c r="Y155" s="20">
        <v>0.54610122409999995</v>
      </c>
      <c r="Z155" s="20">
        <f t="shared" si="60"/>
        <v>-0.26272684998106627</v>
      </c>
      <c r="AA155" s="20">
        <v>0.64049050819999997</v>
      </c>
      <c r="AB155" s="20">
        <v>5432</v>
      </c>
      <c r="AC155" s="20">
        <v>42070</v>
      </c>
      <c r="AD155" s="21">
        <v>6454</v>
      </c>
      <c r="AE155" s="21">
        <f t="shared" si="69"/>
        <v>4.9732995307190248E-2</v>
      </c>
      <c r="AF155" s="21">
        <f t="shared" si="70"/>
        <v>3.8098289610678862</v>
      </c>
      <c r="AG155" s="22">
        <v>8.2528723232105292E-3</v>
      </c>
      <c r="AH155" s="22">
        <v>1071</v>
      </c>
      <c r="AI155" s="22">
        <v>1.6765482089999999</v>
      </c>
      <c r="AJ155" s="23">
        <v>133186</v>
      </c>
      <c r="AK155" s="23">
        <f t="shared" si="68"/>
        <v>5.1244585758681032</v>
      </c>
      <c r="AL155" s="24">
        <v>0.48468471400000002</v>
      </c>
      <c r="AM155" s="22">
        <f>70601+31511</f>
        <v>102112</v>
      </c>
      <c r="AN155" s="22">
        <f t="shared" si="64"/>
        <v>0.78685088577747297</v>
      </c>
      <c r="AO155" s="23">
        <v>7.061068702290077E-2</v>
      </c>
      <c r="AP155" s="33">
        <v>1.6723691999999998E-2</v>
      </c>
      <c r="AQ155" s="23">
        <v>0.22333216055667346</v>
      </c>
      <c r="AR155" s="23">
        <v>129773</v>
      </c>
      <c r="AS155" s="23">
        <v>5.1131843444616409</v>
      </c>
      <c r="AT155" s="23">
        <v>5.0339903812602635</v>
      </c>
      <c r="AU155" s="22">
        <v>3.1120000000000001</v>
      </c>
      <c r="AV155" s="22">
        <v>2.416868515</v>
      </c>
      <c r="AW155" s="22">
        <v>46.375</v>
      </c>
      <c r="AX155" s="22">
        <v>61.088999999999999</v>
      </c>
      <c r="AY155" s="22">
        <v>1</v>
      </c>
      <c r="AZ155" s="24">
        <v>62356</v>
      </c>
      <c r="BA155" s="24">
        <f t="shared" si="61"/>
        <v>4.7948782483762571</v>
      </c>
      <c r="BB155" s="24">
        <v>18074</v>
      </c>
      <c r="BC155" s="24">
        <f t="shared" si="62"/>
        <v>4.2570542779446585</v>
      </c>
      <c r="BD155" s="24">
        <v>44282</v>
      </c>
      <c r="BE155" s="23">
        <v>4403</v>
      </c>
      <c r="BF155" s="22">
        <f t="shared" si="71"/>
        <v>892</v>
      </c>
      <c r="BG155" s="23">
        <v>-0.28834653305317604</v>
      </c>
      <c r="BH155" s="23">
        <v>3.3928475106532179E-2</v>
      </c>
      <c r="BI155" s="23">
        <v>5.7212343144598256E-2</v>
      </c>
      <c r="BJ155" s="23">
        <v>1.9212990492763298E-2</v>
      </c>
      <c r="BK155" s="23">
        <v>-0.40697280968231836</v>
      </c>
      <c r="BL155" s="23">
        <v>6187</v>
      </c>
      <c r="BM155" s="22">
        <v>15213</v>
      </c>
      <c r="BN155" s="22">
        <f t="shared" si="72"/>
        <v>1135</v>
      </c>
      <c r="BO155" s="22">
        <v>4.1822148652675359</v>
      </c>
      <c r="BP155" s="22">
        <v>0.24397010712682018</v>
      </c>
      <c r="BQ155" s="22">
        <v>1.7128844299314092E-2</v>
      </c>
      <c r="BR155" s="22">
        <v>1.8664210364074396E-3</v>
      </c>
      <c r="BS155" s="22">
        <v>7877</v>
      </c>
      <c r="BT155" s="22">
        <v>3.8963608454693164</v>
      </c>
      <c r="BU155" s="22">
        <v>6.0698296255769689E-2</v>
      </c>
      <c r="BV155" s="23">
        <v>6634</v>
      </c>
      <c r="BW155" s="22">
        <v>66853</v>
      </c>
      <c r="BX155" s="22">
        <v>9.1999999999999993</v>
      </c>
      <c r="BY155" s="22">
        <v>0.96378782734555524</v>
      </c>
      <c r="BZ155" s="25">
        <v>-0.19790758500435932</v>
      </c>
      <c r="CA155" s="23">
        <v>0.12394112423341876</v>
      </c>
      <c r="CB155" s="23">
        <v>12.394112423341875</v>
      </c>
      <c r="CC155" s="23">
        <v>1.0932154311888072</v>
      </c>
      <c r="CD155" s="23">
        <v>9.4541820773390697E-2</v>
      </c>
      <c r="CE155" s="23">
        <v>0.14208317737671516</v>
      </c>
      <c r="CF155" s="23">
        <v>1.696969696969697</v>
      </c>
      <c r="CG155" s="23">
        <f t="shared" si="63"/>
        <v>0.52884412926866897</v>
      </c>
      <c r="CH155" s="26">
        <v>18.02</v>
      </c>
      <c r="CI155" s="26">
        <v>23.4</v>
      </c>
      <c r="CJ155" s="26">
        <v>1.2557547866430441</v>
      </c>
      <c r="CK155" s="26">
        <v>1.3692158574101427</v>
      </c>
      <c r="CL155" s="26">
        <v>-0.22991452991452987</v>
      </c>
      <c r="CM155" s="27">
        <v>18.608429118773955</v>
      </c>
      <c r="CN155" s="27">
        <v>-0.26379058716672099</v>
      </c>
      <c r="CO155" s="27">
        <v>10.244782608695646</v>
      </c>
      <c r="CP155" s="27">
        <v>-0.28825696259759365</v>
      </c>
      <c r="CQ155" s="27">
        <v>71.254230769230816</v>
      </c>
      <c r="CR155" s="27">
        <v>-0.24593768180670883</v>
      </c>
      <c r="CS155" s="27">
        <v>0.83494252873563157</v>
      </c>
      <c r="CT155" s="27">
        <v>1.0720384615384604</v>
      </c>
      <c r="CU155" s="27">
        <v>-0.22116364413136569</v>
      </c>
      <c r="CV155" s="27">
        <v>0.95088122605364045</v>
      </c>
      <c r="CW155" s="27">
        <v>1.9781262728880398</v>
      </c>
      <c r="CX155" s="36">
        <v>0.54</v>
      </c>
      <c r="CY155" s="28">
        <v>0.92</v>
      </c>
      <c r="CZ155" s="29">
        <v>24.56237548</v>
      </c>
      <c r="DA155" s="27">
        <v>-0.18114392008251654</v>
      </c>
      <c r="DB155" s="27">
        <v>1.7682050254071211</v>
      </c>
      <c r="DC155" s="27">
        <v>1.9709466682529033</v>
      </c>
      <c r="DD155" s="27">
        <v>3</v>
      </c>
      <c r="DE155" s="28">
        <v>5.28</v>
      </c>
      <c r="DF155" s="28">
        <v>100.319357</v>
      </c>
      <c r="DG155" s="28">
        <v>4.6083586673744366</v>
      </c>
      <c r="DH155" s="28">
        <v>1.0245059999999999</v>
      </c>
      <c r="DI155" s="28">
        <v>0.75403299999999995</v>
      </c>
      <c r="DJ155" s="27">
        <v>5.6</v>
      </c>
      <c r="DK155" s="27">
        <v>1.9</v>
      </c>
      <c r="DL155" s="27">
        <v>1.6829215601661535E-2</v>
      </c>
      <c r="DM155" s="27">
        <v>0.75800000000000001</v>
      </c>
      <c r="DN155" s="28">
        <v>0.74839999999999995</v>
      </c>
      <c r="DO155" s="28">
        <v>7.3744619799139169E-2</v>
      </c>
      <c r="DP155" s="28">
        <f t="shared" si="73"/>
        <v>-1.7371013741249636E-2</v>
      </c>
      <c r="DQ155" s="27">
        <v>8.4699999999999998E-2</v>
      </c>
      <c r="DR155" s="27">
        <v>2.0079372103467861E-2</v>
      </c>
      <c r="DS155" s="27">
        <v>1.50675227484701E-2</v>
      </c>
      <c r="DT155" s="27">
        <v>2.4180879115385762E-2</v>
      </c>
      <c r="DU155" s="30">
        <v>8.0652849999999994</v>
      </c>
      <c r="DV155">
        <v>0.9</v>
      </c>
      <c r="DW155">
        <v>1.4</v>
      </c>
      <c r="DX155">
        <v>103.9</v>
      </c>
      <c r="DY155">
        <v>103.8</v>
      </c>
      <c r="DZ155">
        <v>0.1</v>
      </c>
      <c r="EA155">
        <v>0</v>
      </c>
      <c r="EB155">
        <v>1.826854</v>
      </c>
    </row>
    <row r="156" spans="1:132" ht="18">
      <c r="A156" s="14" t="s">
        <v>161</v>
      </c>
      <c r="B156" s="14">
        <v>12</v>
      </c>
      <c r="C156" s="14" t="s">
        <v>147</v>
      </c>
      <c r="D156" s="14" t="s">
        <v>162</v>
      </c>
      <c r="E156" s="14" t="s">
        <v>160</v>
      </c>
      <c r="F156" s="15">
        <v>10864</v>
      </c>
      <c r="G156" s="15">
        <v>4.0359897569364263</v>
      </c>
      <c r="H156" s="15">
        <v>14534</v>
      </c>
      <c r="I156" s="15">
        <v>1646</v>
      </c>
      <c r="J156" s="16">
        <v>31481</v>
      </c>
      <c r="K156" s="16">
        <v>1</v>
      </c>
      <c r="L156" s="17">
        <v>9.1400111053154084E-2</v>
      </c>
      <c r="M156" s="18">
        <v>27</v>
      </c>
      <c r="N156" s="18">
        <v>27</v>
      </c>
      <c r="O156" s="18">
        <v>0.86259199999999991</v>
      </c>
      <c r="P156" s="18">
        <v>1</v>
      </c>
      <c r="Q156" s="18">
        <v>1</v>
      </c>
      <c r="R156" s="18">
        <v>21</v>
      </c>
      <c r="S156" s="18">
        <v>3</v>
      </c>
      <c r="T156" s="19">
        <v>28922</v>
      </c>
      <c r="U156" s="19">
        <v>4.46122832178055</v>
      </c>
      <c r="V156" s="18">
        <v>58282</v>
      </c>
      <c r="W156" s="20">
        <v>4.7655344465650158</v>
      </c>
      <c r="X156" s="20">
        <v>0.45989110707803993</v>
      </c>
      <c r="Y156" s="20">
        <v>0.51838100350000005</v>
      </c>
      <c r="Z156" s="20">
        <f t="shared" si="60"/>
        <v>-0.28535092192582923</v>
      </c>
      <c r="AA156" s="20">
        <v>0.59438024020000002</v>
      </c>
      <c r="AB156" s="20">
        <v>5246</v>
      </c>
      <c r="AC156" s="20">
        <v>36719</v>
      </c>
      <c r="AD156" s="21">
        <v>6417</v>
      </c>
      <c r="AE156" s="21">
        <f t="shared" si="69"/>
        <v>5.3986976493749055E-2</v>
      </c>
      <c r="AF156" s="21">
        <f t="shared" si="70"/>
        <v>3.8073320392911905</v>
      </c>
      <c r="AG156" s="22">
        <v>8.8001211488953571E-3</v>
      </c>
      <c r="AH156" s="22">
        <v>1046</v>
      </c>
      <c r="AI156" s="22">
        <v>1.9598646390000001</v>
      </c>
      <c r="AJ156" s="23">
        <v>126730</v>
      </c>
      <c r="AK156" s="23">
        <f t="shared" si="68"/>
        <v>5.1028794348693776</v>
      </c>
      <c r="AL156" s="24">
        <v>0.50686107800000002</v>
      </c>
      <c r="AM156" s="22">
        <f>62236+29144</f>
        <v>91380</v>
      </c>
      <c r="AN156" s="22">
        <f t="shared" si="64"/>
        <v>0.76879069845703418</v>
      </c>
      <c r="AO156" s="23">
        <v>8.7082245316415771E-2</v>
      </c>
      <c r="AP156" s="33">
        <v>7.2558978999999996E-2</v>
      </c>
      <c r="AQ156" s="23">
        <v>0.86069116300207027</v>
      </c>
      <c r="AR156" s="23">
        <v>118862</v>
      </c>
      <c r="AS156" s="23">
        <v>5.0750430335248851</v>
      </c>
      <c r="AT156" s="23">
        <v>5.1131843444616409</v>
      </c>
      <c r="AU156" s="22">
        <v>2.8239999999999998</v>
      </c>
      <c r="AV156" s="22">
        <v>2.2086820459999998</v>
      </c>
      <c r="AW156" s="22">
        <v>53.860999999999997</v>
      </c>
      <c r="AX156" s="22">
        <v>46.375</v>
      </c>
      <c r="AY156" s="22">
        <v>2</v>
      </c>
      <c r="AZ156" s="24">
        <v>57061</v>
      </c>
      <c r="BA156" s="24">
        <f t="shared" si="61"/>
        <v>4.7563393784440224</v>
      </c>
      <c r="BB156" s="24">
        <v>17041</v>
      </c>
      <c r="BC156" s="24">
        <f t="shared" si="62"/>
        <v>4.2314950764482298</v>
      </c>
      <c r="BD156" s="24">
        <v>40020</v>
      </c>
      <c r="BE156" s="23">
        <v>4969</v>
      </c>
      <c r="BF156" s="22">
        <f t="shared" si="71"/>
        <v>283</v>
      </c>
      <c r="BG156" s="23">
        <v>0.12854871678401089</v>
      </c>
      <c r="BH156" s="23">
        <v>4.1804782016119535E-2</v>
      </c>
      <c r="BI156" s="23">
        <v>3.3928475106532179E-2</v>
      </c>
      <c r="BJ156" s="23">
        <v>1.9212990492763298E-2</v>
      </c>
      <c r="BK156" s="23">
        <v>0.23214444164839426</v>
      </c>
      <c r="BL156" s="23">
        <v>4403</v>
      </c>
      <c r="BM156" s="22">
        <v>14344</v>
      </c>
      <c r="BN156" s="22">
        <f t="shared" si="72"/>
        <v>434.5</v>
      </c>
      <c r="BO156" s="22">
        <v>4.1566702765541264</v>
      </c>
      <c r="BP156" s="22">
        <v>0.25138010199610944</v>
      </c>
      <c r="BQ156" s="22">
        <v>3.7049974346446274E-3</v>
      </c>
      <c r="BR156" s="22">
        <v>1.7128844299314092E-2</v>
      </c>
      <c r="BS156" s="22">
        <v>9900</v>
      </c>
      <c r="BT156" s="22">
        <v>3.9956351945975501</v>
      </c>
      <c r="BU156" s="22">
        <v>8.3289865558378626E-2</v>
      </c>
      <c r="BV156" s="23">
        <v>7215</v>
      </c>
      <c r="BW156" s="22">
        <v>60699</v>
      </c>
      <c r="BX156" s="22">
        <v>10.99</v>
      </c>
      <c r="BY156" s="22">
        <v>1.0409976924234905</v>
      </c>
      <c r="BZ156" s="25">
        <v>0.19456521739130447</v>
      </c>
      <c r="CA156" s="23">
        <v>0.14208317737671516</v>
      </c>
      <c r="CB156" s="23">
        <v>14.208317737671516</v>
      </c>
      <c r="CC156" s="23">
        <v>1.1525426605808153</v>
      </c>
      <c r="CD156" s="23">
        <v>0.12394112423341876</v>
      </c>
      <c r="CE156" s="23">
        <v>0.13685464176777343</v>
      </c>
      <c r="CF156" s="23">
        <v>1.3879120879120881</v>
      </c>
      <c r="CG156" s="23">
        <f t="shared" si="63"/>
        <v>0.32780052283959549</v>
      </c>
      <c r="CH156" s="26">
        <v>13.72</v>
      </c>
      <c r="CI156" s="26">
        <v>18.02</v>
      </c>
      <c r="CJ156" s="26">
        <v>1.1373541113707328</v>
      </c>
      <c r="CK156" s="26">
        <v>1.2557547866430441</v>
      </c>
      <c r="CL156" s="26">
        <v>-0.23862375138734734</v>
      </c>
      <c r="CM156" s="27">
        <v>14.834099616858232</v>
      </c>
      <c r="CN156" s="27">
        <v>-0.20282902322516949</v>
      </c>
      <c r="CO156" s="27">
        <v>8.3248809523809495</v>
      </c>
      <c r="CP156" s="27">
        <v>-0.18740286930882333</v>
      </c>
      <c r="CQ156" s="27">
        <v>73.031538461538446</v>
      </c>
      <c r="CR156" s="27">
        <v>2.494318825872599E-2</v>
      </c>
      <c r="CS156" s="27">
        <v>0.8023754789272034</v>
      </c>
      <c r="CT156" s="27">
        <v>0.83494252873563157</v>
      </c>
      <c r="CU156" s="27">
        <v>-3.9005139500733109E-2</v>
      </c>
      <c r="CV156" s="27">
        <v>0.96896551724137914</v>
      </c>
      <c r="CW156" s="27">
        <v>1.9863083220061237</v>
      </c>
      <c r="CX156" s="36">
        <v>0.62</v>
      </c>
      <c r="CY156" s="28">
        <v>0.54</v>
      </c>
      <c r="CZ156" s="29">
        <v>18.565019159999999</v>
      </c>
      <c r="DA156" s="27">
        <v>-0.24416841623821645</v>
      </c>
      <c r="DB156" s="27">
        <v>1.1698744465812936</v>
      </c>
      <c r="DC156" s="27">
        <v>1.7682050254071211</v>
      </c>
      <c r="DD156" s="27">
        <v>3</v>
      </c>
      <c r="DE156" s="28">
        <v>4.34</v>
      </c>
      <c r="DF156" s="28">
        <v>100.993267</v>
      </c>
      <c r="DG156" s="28">
        <v>4.6150538512528216</v>
      </c>
      <c r="DH156" s="28">
        <v>1.037388</v>
      </c>
      <c r="DI156" s="28">
        <v>0.81337400000000004</v>
      </c>
      <c r="DJ156" s="27">
        <v>3.9</v>
      </c>
      <c r="DK156" s="27">
        <v>1.3</v>
      </c>
      <c r="DL156" s="27">
        <v>1.2152522197973097E-2</v>
      </c>
      <c r="DM156" s="27">
        <v>0.72770000000000001</v>
      </c>
      <c r="DN156" s="28">
        <v>0.77380000000000004</v>
      </c>
      <c r="DO156" s="28">
        <v>3.3939070016034328E-2</v>
      </c>
      <c r="DP156" s="28">
        <f>(DM156-DM155)/DM155</f>
        <v>-3.9973614775725586E-2</v>
      </c>
      <c r="DQ156" s="27">
        <v>5.8499999999999996E-2</v>
      </c>
      <c r="DR156" s="27">
        <v>1.50675227484701E-2</v>
      </c>
      <c r="DS156" s="27">
        <v>3.1335239457349999E-2</v>
      </c>
      <c r="DT156" s="27">
        <v>2.0079372103467861E-2</v>
      </c>
      <c r="DU156" s="30">
        <v>7.3719619999999999</v>
      </c>
      <c r="DV156">
        <v>1.5</v>
      </c>
      <c r="DW156">
        <v>2.1</v>
      </c>
      <c r="DX156">
        <v>105.4</v>
      </c>
      <c r="DY156">
        <v>105.7</v>
      </c>
      <c r="DZ156">
        <v>0.2</v>
      </c>
      <c r="EA156">
        <v>0.8</v>
      </c>
      <c r="EB156">
        <v>1.343728</v>
      </c>
    </row>
    <row r="157" spans="1:132" ht="18">
      <c r="A157" s="14" t="s">
        <v>161</v>
      </c>
      <c r="B157" s="14">
        <v>13</v>
      </c>
      <c r="C157" s="14" t="s">
        <v>147</v>
      </c>
      <c r="D157" s="14" t="s">
        <v>162</v>
      </c>
      <c r="E157" s="14" t="s">
        <v>160</v>
      </c>
      <c r="F157" s="15">
        <v>37856</v>
      </c>
      <c r="G157" s="15">
        <v>4.5781347229478362</v>
      </c>
      <c r="H157" s="15">
        <v>15052</v>
      </c>
      <c r="I157" s="15">
        <v>1870</v>
      </c>
      <c r="J157" s="16">
        <v>15052</v>
      </c>
      <c r="K157" s="16">
        <v>1</v>
      </c>
      <c r="L157" s="17">
        <v>0.30953646391221512</v>
      </c>
      <c r="M157" s="18">
        <v>27</v>
      </c>
      <c r="N157" s="18">
        <v>27</v>
      </c>
      <c r="O157" s="18">
        <v>0.86259199999999991</v>
      </c>
      <c r="P157" s="18">
        <v>1</v>
      </c>
      <c r="Q157" s="18">
        <v>1</v>
      </c>
      <c r="R157" s="18">
        <v>21</v>
      </c>
      <c r="S157" s="18">
        <v>3</v>
      </c>
      <c r="T157" s="19">
        <v>24213</v>
      </c>
      <c r="U157" s="19">
        <v>4.384048602028618</v>
      </c>
      <c r="V157" s="18">
        <v>57027</v>
      </c>
      <c r="W157" s="20">
        <v>4.7560805254038803</v>
      </c>
      <c r="X157" s="20">
        <v>0.46101050929668552</v>
      </c>
      <c r="Y157" s="20">
        <v>0.4668404323</v>
      </c>
      <c r="Z157" s="20">
        <f t="shared" si="60"/>
        <v>-0.3308315374502373</v>
      </c>
      <c r="AA157" s="20">
        <v>0.6338491933</v>
      </c>
      <c r="AB157" s="20">
        <v>5775</v>
      </c>
      <c r="AC157" s="20">
        <v>36717</v>
      </c>
      <c r="AD157" s="21">
        <v>6343</v>
      </c>
      <c r="AE157" s="21">
        <f t="shared" si="69"/>
        <v>5.1864692270582755E-2</v>
      </c>
      <c r="AF157" s="21">
        <f t="shared" si="70"/>
        <v>3.8022947113974639</v>
      </c>
      <c r="AG157" s="22">
        <v>9.0842934120475231E-3</v>
      </c>
      <c r="AH157" s="22">
        <v>1111</v>
      </c>
      <c r="AI157" s="22">
        <v>1.8328105910000001</v>
      </c>
      <c r="AJ157" s="23">
        <v>123700</v>
      </c>
      <c r="AK157" s="23">
        <f t="shared" si="68"/>
        <v>5.0923696996291206</v>
      </c>
      <c r="AL157" s="24">
        <v>0.48063600499999998</v>
      </c>
      <c r="AM157" s="22">
        <f>62311+29699</f>
        <v>92010</v>
      </c>
      <c r="AN157" s="22">
        <f t="shared" si="64"/>
        <v>0.752336486806924</v>
      </c>
      <c r="AO157" s="23">
        <v>6.4553268356591295E-2</v>
      </c>
      <c r="AP157" s="33">
        <v>7.1126720000000004E-2</v>
      </c>
      <c r="AQ157" s="23">
        <v>0.8520327817226625</v>
      </c>
      <c r="AR157" s="23">
        <v>122299</v>
      </c>
      <c r="AS157" s="23">
        <v>5.0874229059630443</v>
      </c>
      <c r="AT157" s="23">
        <v>5.0750430335248851</v>
      </c>
      <c r="AU157" s="22">
        <v>2.6120000000000001</v>
      </c>
      <c r="AV157" s="22">
        <v>1.973719832</v>
      </c>
      <c r="AW157" s="22">
        <v>55.514000000000003</v>
      </c>
      <c r="AX157" s="22">
        <v>53.860999999999997</v>
      </c>
      <c r="AY157" s="22">
        <v>2</v>
      </c>
      <c r="AZ157" s="24">
        <v>50377</v>
      </c>
      <c r="BA157" s="24">
        <f t="shared" si="61"/>
        <v>4.7022323012677125</v>
      </c>
      <c r="BB157" s="24">
        <v>15182</v>
      </c>
      <c r="BC157" s="24">
        <f t="shared" si="62"/>
        <v>4.1813289870897341</v>
      </c>
      <c r="BD157" s="24">
        <v>35195</v>
      </c>
      <c r="BE157" s="23">
        <v>3252</v>
      </c>
      <c r="BF157" s="22">
        <f t="shared" si="71"/>
        <v>858.5</v>
      </c>
      <c r="BG157" s="23">
        <v>-0.3455423626484202</v>
      </c>
      <c r="BH157" s="23">
        <v>2.6590569015282218E-2</v>
      </c>
      <c r="BI157" s="23">
        <v>4.1804782016119535E-2</v>
      </c>
      <c r="BJ157" s="23">
        <v>1.9212990492763298E-2</v>
      </c>
      <c r="BK157" s="23">
        <v>-0.3639347526072701</v>
      </c>
      <c r="BL157" s="23">
        <v>4969</v>
      </c>
      <c r="BM157" s="22">
        <v>12193</v>
      </c>
      <c r="BN157" s="22">
        <f>STDEVP(BM156:BM157)</f>
        <v>1075.5</v>
      </c>
      <c r="BO157" s="22">
        <v>4.0861105738013199</v>
      </c>
      <c r="BP157" s="22">
        <v>0.2420350556801715</v>
      </c>
      <c r="BQ157" s="22">
        <v>4.6725231579689691E-3</v>
      </c>
      <c r="BR157" s="22">
        <v>3.7049974346446274E-3</v>
      </c>
      <c r="BS157" s="22">
        <v>9968</v>
      </c>
      <c r="BT157" s="22">
        <v>3.9986080293150943</v>
      </c>
      <c r="BU157" s="22">
        <v>8.1505163574518188E-2</v>
      </c>
      <c r="BV157" s="23">
        <v>5927</v>
      </c>
      <c r="BW157" s="22">
        <v>59782</v>
      </c>
      <c r="BX157" s="22">
        <v>11.44</v>
      </c>
      <c r="BY157" s="22">
        <v>1.0584260244570054</v>
      </c>
      <c r="BZ157" s="25">
        <v>4.0946314831665082E-2</v>
      </c>
      <c r="CA157" s="23">
        <v>0.13685464176777343</v>
      </c>
      <c r="CB157" s="23">
        <v>13.685464176777343</v>
      </c>
      <c r="CC157" s="23">
        <v>1.1362595321805073</v>
      </c>
      <c r="CD157" s="23">
        <v>0.14208317737671516</v>
      </c>
      <c r="CE157" s="23">
        <v>0.19670181</v>
      </c>
      <c r="CF157" s="23">
        <v>1.2843326885880078</v>
      </c>
      <c r="CG157" s="23">
        <f t="shared" si="63"/>
        <v>0.25023927496800474</v>
      </c>
      <c r="CH157" s="26">
        <v>19.2</v>
      </c>
      <c r="CI157" s="26">
        <v>13.72</v>
      </c>
      <c r="CJ157" s="26">
        <v>1.2833012287035497</v>
      </c>
      <c r="CK157" s="26">
        <v>1.1373541113707328</v>
      </c>
      <c r="CL157" s="26">
        <v>0.39941690962099113</v>
      </c>
      <c r="CM157" s="27">
        <v>14.883180076628348</v>
      </c>
      <c r="CN157" s="27">
        <v>3.3086241186042575E-3</v>
      </c>
      <c r="CO157" s="27">
        <v>6.9159523809523806</v>
      </c>
      <c r="CP157" s="27">
        <v>-0.16924308941926786</v>
      </c>
      <c r="CQ157" s="27">
        <v>64.583076923076902</v>
      </c>
      <c r="CR157" s="27">
        <v>-0.11568237115682381</v>
      </c>
      <c r="CS157" s="27">
        <v>0.66574712643678124</v>
      </c>
      <c r="CT157" s="27">
        <v>0.8023754789272034</v>
      </c>
      <c r="CU157" s="27">
        <v>-0.1702798204564997</v>
      </c>
      <c r="CV157" s="27">
        <v>0.67685823754789287</v>
      </c>
      <c r="CW157" s="27">
        <v>1.8304977187626064</v>
      </c>
      <c r="CX157" s="36">
        <v>1.33</v>
      </c>
      <c r="CY157" s="28">
        <v>0.62</v>
      </c>
      <c r="CZ157" s="29">
        <v>18.278045980000002</v>
      </c>
      <c r="DA157" s="27">
        <v>-1.5457736807420394E-2</v>
      </c>
      <c r="DC157" s="27">
        <v>1.1698744465812936</v>
      </c>
      <c r="DD157" s="27">
        <v>3</v>
      </c>
      <c r="DE157" s="28">
        <v>2.5099999999999998</v>
      </c>
      <c r="DF157" s="28">
        <v>100.491129</v>
      </c>
      <c r="DG157" s="28">
        <v>4.6100694549465073</v>
      </c>
      <c r="DH157" s="28">
        <v>1.0363100000000001</v>
      </c>
      <c r="DI157" s="28">
        <v>0.80021699999999996</v>
      </c>
      <c r="DJ157" s="27">
        <v>3.2</v>
      </c>
      <c r="DK157" s="27">
        <v>1</v>
      </c>
      <c r="DL157" s="27">
        <v>1.7108786898118553E-2</v>
      </c>
      <c r="DM157" s="27">
        <v>0.8266</v>
      </c>
      <c r="DN157" s="28">
        <v>0.75860000000000005</v>
      </c>
      <c r="DO157" s="28">
        <v>-1.9643318686999211E-2</v>
      </c>
      <c r="DP157" s="28">
        <f t="shared" si="73"/>
        <v>0.13590765425312626</v>
      </c>
      <c r="DQ157" s="27">
        <v>0.10860000000000003</v>
      </c>
      <c r="DR157" s="27">
        <v>3.1335239457349999E-2</v>
      </c>
      <c r="DS157" s="27">
        <v>2.7611694356583942E-2</v>
      </c>
      <c r="DT157" s="27">
        <v>1.50675227484701E-2</v>
      </c>
      <c r="DU157" s="30">
        <v>6.1553740000000001</v>
      </c>
      <c r="DV157">
        <v>1.6</v>
      </c>
      <c r="DW157">
        <v>2.2999999999999998</v>
      </c>
      <c r="DX157">
        <v>107</v>
      </c>
      <c r="DY157">
        <v>107.5</v>
      </c>
      <c r="DZ157">
        <v>0.4</v>
      </c>
      <c r="EA157">
        <v>1.1000000000000001</v>
      </c>
      <c r="EB157">
        <v>1.4054869999999999</v>
      </c>
    </row>
    <row r="158" spans="1:132" ht="18">
      <c r="A158" s="14" t="s">
        <v>163</v>
      </c>
      <c r="B158" s="14">
        <v>1</v>
      </c>
      <c r="C158" s="14" t="s">
        <v>150</v>
      </c>
      <c r="D158" s="14" t="s">
        <v>159</v>
      </c>
      <c r="E158" s="14" t="s">
        <v>145</v>
      </c>
      <c r="F158" s="15">
        <v>4725</v>
      </c>
      <c r="G158" s="15">
        <v>3.6744018128452818</v>
      </c>
      <c r="I158" s="15"/>
      <c r="J158" s="16">
        <v>2217</v>
      </c>
      <c r="K158" s="16">
        <v>1</v>
      </c>
      <c r="L158" s="17">
        <v>5.537390570614914E-2</v>
      </c>
      <c r="M158" s="18">
        <v>130</v>
      </c>
      <c r="N158" s="18">
        <v>116</v>
      </c>
      <c r="O158" s="18">
        <v>0.92474435046080039</v>
      </c>
      <c r="P158" s="18">
        <v>3</v>
      </c>
      <c r="Q158" s="18">
        <f>(3+3+1)/3</f>
        <v>2.3333333333333335</v>
      </c>
      <c r="R158" s="18">
        <v>130</v>
      </c>
      <c r="S158" s="18">
        <v>5</v>
      </c>
      <c r="T158" s="19">
        <v>46360</v>
      </c>
      <c r="U158" s="19">
        <v>4.6661434272915585</v>
      </c>
      <c r="V158" s="20">
        <v>30367.25</v>
      </c>
      <c r="W158" s="20">
        <v>4.4824054648224205</v>
      </c>
      <c r="X158" s="20">
        <v>0.25</v>
      </c>
      <c r="Y158" s="20">
        <v>0.48887383899999998</v>
      </c>
      <c r="Z158" s="20">
        <f t="shared" si="60"/>
        <v>-0.31080320242102938</v>
      </c>
      <c r="AA158" s="20">
        <v>0.61083516230000001</v>
      </c>
      <c r="AB158" s="20">
        <v>5288</v>
      </c>
      <c r="AC158" s="20">
        <v>20212</v>
      </c>
      <c r="AD158" s="21">
        <v>8309</v>
      </c>
      <c r="AE158" s="21">
        <f t="shared" si="69"/>
        <v>9.7376038626961522E-2</v>
      </c>
      <c r="AF158" s="21">
        <f t="shared" si="70"/>
        <v>3.919548758968848</v>
      </c>
      <c r="AG158" s="22">
        <v>7.758206471422377E-3</v>
      </c>
      <c r="AH158" s="22">
        <v>662</v>
      </c>
      <c r="AI158" s="22">
        <v>3.2663472900000001</v>
      </c>
      <c r="AJ158" s="22">
        <v>121469</v>
      </c>
      <c r="AK158" s="23">
        <f t="shared" si="68"/>
        <v>5.084465456150383</v>
      </c>
      <c r="AL158" s="24">
        <v>0.45211624700000003</v>
      </c>
      <c r="AM158" s="22">
        <f>16643+25182</f>
        <v>41825</v>
      </c>
      <c r="AN158" s="22">
        <f t="shared" si="64"/>
        <v>0.49016160976924611</v>
      </c>
      <c r="AO158" s="23">
        <v>5.7938365515896234E-2</v>
      </c>
      <c r="AP158" s="23">
        <v>6.7227217597981351E-3</v>
      </c>
      <c r="AQ158" s="23">
        <v>-0.17245486296584847</v>
      </c>
      <c r="AR158" s="22">
        <v>85329</v>
      </c>
      <c r="AS158" s="23">
        <v>4.9310966560155434</v>
      </c>
      <c r="AT158" s="23">
        <f>LOG(88600)</f>
        <v>4.9474337218870508</v>
      </c>
      <c r="AU158" s="22">
        <v>1.1579999999999999</v>
      </c>
      <c r="AV158" s="22">
        <v>0.4744913831</v>
      </c>
      <c r="AW158" s="22">
        <v>105</v>
      </c>
      <c r="AX158" s="22"/>
      <c r="AY158" s="22">
        <v>3</v>
      </c>
      <c r="AZ158" s="24">
        <v>102540</v>
      </c>
      <c r="BA158" s="24">
        <f t="shared" si="61"/>
        <v>5.0108933131043809</v>
      </c>
      <c r="BB158" s="24">
        <v>87760</v>
      </c>
      <c r="BC158" s="24">
        <f t="shared" si="62"/>
        <v>4.9432966145666546</v>
      </c>
      <c r="BD158" s="24">
        <v>14780</v>
      </c>
      <c r="BE158" s="22">
        <v>5941</v>
      </c>
      <c r="BF158" s="22">
        <v>788.5</v>
      </c>
      <c r="BG158" s="23">
        <v>-0.20976323490289972</v>
      </c>
      <c r="BH158" s="23">
        <v>6.9624629375710484E-2</v>
      </c>
      <c r="BI158" s="23">
        <v>8.6196388261851012E-2</v>
      </c>
      <c r="BJ158" s="23">
        <v>3.0652164637409177E-2</v>
      </c>
      <c r="BK158" s="23">
        <v>-0.19225583832814597</v>
      </c>
      <c r="BL158" s="22">
        <v>7518</v>
      </c>
      <c r="BM158" s="22">
        <v>11006</v>
      </c>
      <c r="BN158" s="22"/>
      <c r="BO158" s="22">
        <v>4.0416295084751379</v>
      </c>
      <c r="BP158" s="22">
        <v>0.10733372342500487</v>
      </c>
      <c r="BQ158" s="22">
        <v>4.7419572927958065E-3</v>
      </c>
      <c r="BR158" s="22"/>
      <c r="BS158" s="22">
        <v>-6849</v>
      </c>
      <c r="BT158" s="22">
        <v>3.8356271662098975</v>
      </c>
      <c r="BU158" s="22">
        <v>8.0265794747389513E-2</v>
      </c>
      <c r="BV158" s="23">
        <v>9537</v>
      </c>
      <c r="BW158" s="22">
        <v>15253</v>
      </c>
      <c r="BX158" s="22">
        <v>19.02</v>
      </c>
      <c r="BY158" s="22">
        <v>1.2792105126013951</v>
      </c>
      <c r="BZ158" s="25">
        <v>0.48593749999999991</v>
      </c>
      <c r="CA158" s="23">
        <v>6.0688564775993499E-2</v>
      </c>
      <c r="CB158" s="23">
        <v>6.0688564775993497</v>
      </c>
      <c r="CC158" s="23">
        <v>0.78310686698071941</v>
      </c>
      <c r="CD158" s="23">
        <v>3.268886E-2</v>
      </c>
      <c r="CE158" s="23">
        <v>3.9305854754660308E-2</v>
      </c>
      <c r="CF158" s="23">
        <v>1.480388870264834</v>
      </c>
      <c r="CG158" s="23">
        <f t="shared" si="63"/>
        <v>0.39230480344218271</v>
      </c>
      <c r="CH158" s="26">
        <v>28.62</v>
      </c>
      <c r="CI158" s="26">
        <v>23.8</v>
      </c>
      <c r="CJ158" s="26">
        <v>1.4566696294237576</v>
      </c>
      <c r="CK158" s="26">
        <v>1.3765769570565121</v>
      </c>
      <c r="CL158" s="26">
        <v>0.20252100840336135</v>
      </c>
      <c r="CM158" s="27">
        <v>28.164291187739472</v>
      </c>
      <c r="CN158" s="27">
        <v>5.6821432935815153E-2</v>
      </c>
      <c r="CQ158" s="27">
        <v>125.09884615384618</v>
      </c>
      <c r="CR158" s="27">
        <v>0.13726223776223803</v>
      </c>
      <c r="CS158" s="27">
        <v>0.92386973180076593</v>
      </c>
      <c r="CT158" s="27">
        <v>1.0645593900000001</v>
      </c>
      <c r="CU158" s="27">
        <v>-0.12842478132003218</v>
      </c>
      <c r="CX158" s="36">
        <v>0.76</v>
      </c>
      <c r="CY158" s="28">
        <v>0.82</v>
      </c>
      <c r="CZ158" s="29">
        <v>37.275402300000003</v>
      </c>
      <c r="DA158" s="27">
        <v>0.32652677224199295</v>
      </c>
      <c r="DB158" s="27">
        <v>2.5105365885464708</v>
      </c>
      <c r="DC158" s="27">
        <v>1.25643310503606</v>
      </c>
      <c r="DD158" s="27">
        <v>1</v>
      </c>
      <c r="DE158" s="27">
        <v>1.5</v>
      </c>
      <c r="DF158" s="27">
        <v>87.3</v>
      </c>
      <c r="DG158" s="28">
        <v>4.4693504628455569</v>
      </c>
      <c r="DH158" s="27">
        <v>0.88536000000000004</v>
      </c>
      <c r="DI158" s="27">
        <v>2.5</v>
      </c>
      <c r="DJ158" s="27">
        <v>2.7</v>
      </c>
      <c r="DK158" s="27">
        <v>2.2999999999999998</v>
      </c>
      <c r="DL158" s="27">
        <v>1.1731637610823707E-2</v>
      </c>
      <c r="DM158" s="27">
        <v>0.95289999999999997</v>
      </c>
      <c r="DN158" s="28">
        <v>1.1605000000000001</v>
      </c>
      <c r="DO158" s="28">
        <v>9.3264248704663183E-2</v>
      </c>
      <c r="DP158" s="28">
        <f>(DM158-1.1242)/1.1242</f>
        <v>-0.15237502223803603</v>
      </c>
      <c r="DQ158" s="27">
        <v>0.20879999999999999</v>
      </c>
      <c r="DR158" s="27">
        <v>6.0688564775993471E-2</v>
      </c>
      <c r="DS158" s="27">
        <v>3.9305854754660308E-2</v>
      </c>
      <c r="DT158" s="27">
        <v>3.268886E-2</v>
      </c>
      <c r="DU158" s="30">
        <v>5.7817160000000003</v>
      </c>
      <c r="DV158">
        <v>0.9</v>
      </c>
      <c r="DW158">
        <v>2.8</v>
      </c>
      <c r="DX158">
        <v>84</v>
      </c>
      <c r="DY158">
        <v>80.900000000000006</v>
      </c>
      <c r="DZ158">
        <v>2.2000000000000002</v>
      </c>
      <c r="EA158">
        <v>3</v>
      </c>
      <c r="EB158">
        <v>1.701892</v>
      </c>
    </row>
    <row r="159" spans="1:132" ht="18">
      <c r="A159" s="14" t="s">
        <v>163</v>
      </c>
      <c r="B159" s="14">
        <v>2</v>
      </c>
      <c r="C159" s="14" t="s">
        <v>150</v>
      </c>
      <c r="D159" s="14" t="s">
        <v>159</v>
      </c>
      <c r="E159" s="14" t="s">
        <v>145</v>
      </c>
      <c r="F159" s="15">
        <v>6488</v>
      </c>
      <c r="G159" s="15">
        <v>3.8121108412030997</v>
      </c>
      <c r="I159" s="15"/>
      <c r="J159" s="16">
        <v>1834</v>
      </c>
      <c r="K159" s="16">
        <v>1</v>
      </c>
      <c r="L159" s="17">
        <v>8.14124201623731E-2</v>
      </c>
      <c r="M159" s="18">
        <v>130</v>
      </c>
      <c r="N159" s="18">
        <v>116</v>
      </c>
      <c r="O159" s="18">
        <v>0.92474435046080039</v>
      </c>
      <c r="P159" s="18">
        <v>3</v>
      </c>
      <c r="Q159" s="18">
        <f t="shared" ref="Q159:Q170" si="74">(3+3+1)/3</f>
        <v>2.3333333333333335</v>
      </c>
      <c r="R159" s="18">
        <v>130</v>
      </c>
      <c r="S159" s="18">
        <v>5</v>
      </c>
      <c r="T159" s="19">
        <v>47231</v>
      </c>
      <c r="U159" s="19">
        <v>4.6742271407891565</v>
      </c>
      <c r="V159" s="20">
        <v>31019.24</v>
      </c>
      <c r="W159" s="20">
        <v>4.4916311529924267</v>
      </c>
      <c r="X159" s="20">
        <v>0.28000000000000003</v>
      </c>
      <c r="Y159" s="20">
        <v>0.4967757095</v>
      </c>
      <c r="Z159" s="20">
        <f t="shared" si="60"/>
        <v>-0.3038396477107389</v>
      </c>
      <c r="AA159" s="20">
        <v>0.63703416150000003</v>
      </c>
      <c r="AB159" s="20">
        <v>4923</v>
      </c>
      <c r="AC159" s="20">
        <v>19028</v>
      </c>
      <c r="AD159" s="21">
        <v>8254</v>
      </c>
      <c r="AE159" s="21">
        <f t="shared" si="69"/>
        <v>0.10357245931261215</v>
      </c>
      <c r="AF159" s="21">
        <f t="shared" si="70"/>
        <v>3.9166644645413973</v>
      </c>
      <c r="AG159" s="22">
        <v>8.3696184106508732E-3</v>
      </c>
      <c r="AH159" s="22">
        <v>667</v>
      </c>
      <c r="AI159" s="22">
        <v>3.4203775570000001</v>
      </c>
      <c r="AJ159" s="22">
        <v>110783</v>
      </c>
      <c r="AK159" s="23">
        <f t="shared" si="68"/>
        <v>5.0444731216502072</v>
      </c>
      <c r="AL159" s="24">
        <v>0.451314834</v>
      </c>
      <c r="AM159" s="22">
        <f>15605+23109</f>
        <v>38714</v>
      </c>
      <c r="AN159" s="22">
        <f t="shared" si="64"/>
        <v>0.48578921611684839</v>
      </c>
      <c r="AO159" s="23">
        <v>6.71272407598517E-2</v>
      </c>
      <c r="AP159" s="33">
        <v>2.4508009999999998E-3</v>
      </c>
      <c r="AQ159" s="23">
        <v>-0.61069195113492891</v>
      </c>
      <c r="AR159" s="22">
        <v>79693</v>
      </c>
      <c r="AS159" s="23">
        <v>4.9014201759145006</v>
      </c>
      <c r="AT159" s="23">
        <v>4.9310966560155434</v>
      </c>
      <c r="AU159" s="22">
        <v>1.0820000000000001</v>
      </c>
      <c r="AV159" s="22">
        <v>0.44787213050000002</v>
      </c>
      <c r="AW159" s="22">
        <v>104</v>
      </c>
      <c r="AX159" s="22">
        <v>105</v>
      </c>
      <c r="AY159" s="22">
        <v>3</v>
      </c>
      <c r="AZ159" s="24">
        <v>104652</v>
      </c>
      <c r="BA159" s="24">
        <f t="shared" si="61"/>
        <v>5.019747532537715</v>
      </c>
      <c r="BB159" s="24">
        <v>86622</v>
      </c>
      <c r="BC159" s="24">
        <f t="shared" si="62"/>
        <v>4.9376282068578776</v>
      </c>
      <c r="BD159" s="24">
        <v>18030</v>
      </c>
      <c r="BE159" s="22">
        <v>7025</v>
      </c>
      <c r="BF159" s="22">
        <f>STDEVP(BE158:BE159)</f>
        <v>542</v>
      </c>
      <c r="BG159" s="23">
        <v>0.18246086517421309</v>
      </c>
      <c r="BH159" s="23">
        <v>8.8150778612927111E-2</v>
      </c>
      <c r="BI159" s="23">
        <v>6.9624629375710484E-2</v>
      </c>
      <c r="BJ159" s="23">
        <v>3.0652164637409177E-2</v>
      </c>
      <c r="BK159" s="23">
        <v>0.26608614513759599</v>
      </c>
      <c r="BL159" s="22">
        <v>5941</v>
      </c>
      <c r="BM159" s="22">
        <v>12487</v>
      </c>
      <c r="BN159" s="22">
        <f>STDEVP(BM158:BM159)</f>
        <v>740.5</v>
      </c>
      <c r="BO159" s="22">
        <v>4.0964581117174532</v>
      </c>
      <c r="BP159" s="22">
        <v>0.11931926766808088</v>
      </c>
      <c r="BQ159" s="22">
        <v>5.9927721215380023E-3</v>
      </c>
      <c r="BR159" s="22">
        <v>4.7419572927958065E-3</v>
      </c>
      <c r="BS159" s="22">
        <v>-5734</v>
      </c>
      <c r="BT159" s="22">
        <v>3.7584576886104655</v>
      </c>
      <c r="BU159" s="22">
        <v>7.1951112393811245E-2</v>
      </c>
      <c r="BV159" s="23">
        <v>12328</v>
      </c>
      <c r="BW159" s="23">
        <v>13618</v>
      </c>
      <c r="BX159" s="22">
        <v>25.38</v>
      </c>
      <c r="BY159" s="22">
        <v>1.4044916177586859</v>
      </c>
      <c r="BZ159" s="25">
        <v>0.33438485804416401</v>
      </c>
      <c r="CA159" s="23">
        <v>3.9305854754660308E-2</v>
      </c>
      <c r="CB159" s="23">
        <v>3.9305854754660308</v>
      </c>
      <c r="CC159" s="23">
        <v>0.59445724498766661</v>
      </c>
      <c r="CD159" s="23">
        <v>6.0688564775993499E-2</v>
      </c>
      <c r="CE159" s="23">
        <v>2.6867542601332471E-2</v>
      </c>
      <c r="CF159" s="23">
        <v>1.3386029411764706</v>
      </c>
      <c r="CG159" s="23">
        <f t="shared" si="63"/>
        <v>0.29162648888539044</v>
      </c>
      <c r="CH159" s="26">
        <v>18.309999999999999</v>
      </c>
      <c r="CI159" s="26">
        <v>28.62</v>
      </c>
      <c r="CJ159" s="26">
        <v>1.2626883443016965</v>
      </c>
      <c r="CK159" s="26">
        <v>1.4566696294237576</v>
      </c>
      <c r="CL159" s="26">
        <v>-0.36023759608665273</v>
      </c>
      <c r="CM159" s="27">
        <v>22.615402298850572</v>
      </c>
      <c r="CN159" s="27">
        <v>-0.19701858825065877</v>
      </c>
      <c r="CQ159" s="27">
        <v>115.89653846153851</v>
      </c>
      <c r="CR159" s="27">
        <v>-7.3560292322686169E-2</v>
      </c>
      <c r="CS159" s="27">
        <v>0.92888888888888932</v>
      </c>
      <c r="CT159" s="27">
        <v>0.92386973180076604</v>
      </c>
      <c r="CU159" s="27">
        <v>5.4327541160378483E-3</v>
      </c>
      <c r="CX159" s="36">
        <v>0.66</v>
      </c>
      <c r="CY159" s="28">
        <v>0.76</v>
      </c>
      <c r="CZ159" s="29">
        <v>31.998965519999999</v>
      </c>
      <c r="DA159" s="27">
        <v>-0.14155277889515908</v>
      </c>
      <c r="DB159" s="27">
        <v>2.6347679627304119</v>
      </c>
      <c r="DC159" s="27">
        <v>2.5105365885464708</v>
      </c>
      <c r="DD159" s="27">
        <v>1</v>
      </c>
      <c r="DE159" s="27">
        <v>1.8</v>
      </c>
      <c r="DF159" s="27">
        <v>88.9</v>
      </c>
      <c r="DG159" s="28">
        <v>4.4875121425198587</v>
      </c>
      <c r="DH159" s="27">
        <v>0.90083999999999997</v>
      </c>
      <c r="DI159" s="27">
        <v>2.4</v>
      </c>
      <c r="DJ159" s="27">
        <v>2.2000000000000002</v>
      </c>
      <c r="DK159" s="27">
        <v>2</v>
      </c>
      <c r="DL159" s="27">
        <v>1.6216043547496031E-2</v>
      </c>
      <c r="DM159" s="27">
        <v>0.79400000000000004</v>
      </c>
      <c r="DN159" s="28">
        <v>1.1231</v>
      </c>
      <c r="DO159" s="28">
        <v>-3.2227488151658851E-2</v>
      </c>
      <c r="DP159" s="28">
        <f>(DM159-DM158)/DM158</f>
        <v>-0.16675411900514214</v>
      </c>
      <c r="DQ159" s="27">
        <v>0.17130000000000001</v>
      </c>
      <c r="DR159" s="27">
        <v>3.9305854754660308E-2</v>
      </c>
      <c r="DS159" s="27">
        <v>2.6867542601332471E-2</v>
      </c>
      <c r="DT159" s="27">
        <v>6.0688564775993471E-2</v>
      </c>
      <c r="DU159" s="30">
        <v>5.9865389999999996</v>
      </c>
      <c r="DV159">
        <v>0.9</v>
      </c>
      <c r="DW159">
        <v>2.8</v>
      </c>
      <c r="DX159">
        <v>85.7</v>
      </c>
      <c r="DY159">
        <v>82.9</v>
      </c>
      <c r="DZ159">
        <v>2.4</v>
      </c>
      <c r="EA159">
        <v>2</v>
      </c>
      <c r="EB159">
        <v>1.4781599999999999</v>
      </c>
    </row>
    <row r="160" spans="1:132" ht="18">
      <c r="A160" s="14" t="s">
        <v>163</v>
      </c>
      <c r="B160" s="14">
        <v>3</v>
      </c>
      <c r="C160" s="14" t="s">
        <v>150</v>
      </c>
      <c r="D160" s="14" t="s">
        <v>159</v>
      </c>
      <c r="E160" s="14" t="s">
        <v>145</v>
      </c>
      <c r="F160" s="15">
        <v>10647</v>
      </c>
      <c r="G160" s="15">
        <v>4.0272272540672551</v>
      </c>
      <c r="I160" s="15"/>
      <c r="J160" s="16">
        <v>2870</v>
      </c>
      <c r="K160" s="16">
        <v>1</v>
      </c>
      <c r="L160" s="17">
        <v>0.12270794195950073</v>
      </c>
      <c r="M160" s="18">
        <v>130</v>
      </c>
      <c r="N160" s="18">
        <v>116</v>
      </c>
      <c r="O160" s="18">
        <v>0.92474435046080039</v>
      </c>
      <c r="P160" s="18">
        <v>3</v>
      </c>
      <c r="Q160" s="18">
        <f t="shared" si="74"/>
        <v>2.3333333333333335</v>
      </c>
      <c r="R160" s="18">
        <v>130</v>
      </c>
      <c r="S160" s="18">
        <v>5</v>
      </c>
      <c r="T160" s="19">
        <v>42982</v>
      </c>
      <c r="U160" s="19">
        <v>4.6332866198281861</v>
      </c>
      <c r="V160" s="20">
        <v>32306.29</v>
      </c>
      <c r="W160" s="20">
        <v>4.5092870872333686</v>
      </c>
      <c r="X160" s="20">
        <v>0.29000000000000004</v>
      </c>
      <c r="Y160" s="20">
        <v>0.48576755420000001</v>
      </c>
      <c r="Z160" s="20">
        <f t="shared" si="60"/>
        <v>-0.31357149632891329</v>
      </c>
      <c r="AA160" s="20">
        <v>0.52998652290000003</v>
      </c>
      <c r="AB160" s="20">
        <v>4719</v>
      </c>
      <c r="AC160" s="20">
        <v>18499</v>
      </c>
      <c r="AD160" s="21">
        <v>8226</v>
      </c>
      <c r="AE160" s="21">
        <f t="shared" si="69"/>
        <v>9.4805628868118066E-2</v>
      </c>
      <c r="AF160" s="21">
        <f t="shared" si="70"/>
        <v>3.9151887051731564</v>
      </c>
      <c r="AG160" s="22">
        <v>7.3184505630020632E-3</v>
      </c>
      <c r="AH160" s="22">
        <v>635</v>
      </c>
      <c r="AI160" s="22">
        <v>3.2270311309999999</v>
      </c>
      <c r="AJ160" s="22">
        <v>111401</v>
      </c>
      <c r="AK160" s="23">
        <f t="shared" si="68"/>
        <v>5.0468890893344129</v>
      </c>
      <c r="AL160" s="24">
        <v>0.352317251</v>
      </c>
      <c r="AM160" s="22">
        <f>16283+26777</f>
        <v>43060</v>
      </c>
      <c r="AN160" s="22">
        <f t="shared" si="64"/>
        <v>0.49627162400451785</v>
      </c>
      <c r="AO160" s="23">
        <v>9.1386744044984342E-2</v>
      </c>
      <c r="AP160" s="33">
        <v>6.11234E-3</v>
      </c>
      <c r="AQ160" s="23">
        <v>-0.21379249605262821</v>
      </c>
      <c r="AR160" s="22">
        <v>86767</v>
      </c>
      <c r="AS160" s="23">
        <v>4.9383545818246395</v>
      </c>
      <c r="AT160" s="23">
        <v>4.9014201759145006</v>
      </c>
      <c r="AU160" s="22">
        <v>1.1930000000000001</v>
      </c>
      <c r="AV160" s="22">
        <v>0.47149455829999998</v>
      </c>
      <c r="AW160" s="22">
        <v>102</v>
      </c>
      <c r="AX160" s="22">
        <v>104</v>
      </c>
      <c r="AY160" s="22">
        <v>3</v>
      </c>
      <c r="AZ160" s="24">
        <v>121998</v>
      </c>
      <c r="BA160" s="24">
        <f t="shared" si="61"/>
        <v>5.0863527110347198</v>
      </c>
      <c r="BB160" s="24">
        <v>58556</v>
      </c>
      <c r="BC160" s="24">
        <f t="shared" si="62"/>
        <v>4.767571402113516</v>
      </c>
      <c r="BD160" s="24">
        <v>63442</v>
      </c>
      <c r="BE160" s="22">
        <v>11149</v>
      </c>
      <c r="BF160" s="22">
        <f t="shared" ref="BF160:BF169" si="75">STDEVP(BE159:BE160)</f>
        <v>2062</v>
      </c>
      <c r="BG160" s="23">
        <v>0.58704626334519572</v>
      </c>
      <c r="BH160" s="23">
        <v>0.12849355169592125</v>
      </c>
      <c r="BI160" s="23">
        <v>8.8150778612927111E-2</v>
      </c>
      <c r="BJ160" s="23">
        <v>3.0652164637409177E-2</v>
      </c>
      <c r="BK160" s="23">
        <v>0.45765645769438457</v>
      </c>
      <c r="BL160" s="22">
        <v>7025</v>
      </c>
      <c r="BM160" s="22">
        <v>14662</v>
      </c>
      <c r="BN160" s="22">
        <f t="shared" ref="BN160:BN169" si="76">STDEVP(BM159:BM160)</f>
        <v>1087.5</v>
      </c>
      <c r="BO160" s="22">
        <v>4.1661932151700674</v>
      </c>
      <c r="BP160" s="22">
        <v>0.12018229807046017</v>
      </c>
      <c r="BQ160" s="22">
        <v>4.3151520118964865E-4</v>
      </c>
      <c r="BR160" s="22">
        <v>5.9927721215380023E-3</v>
      </c>
      <c r="BS160" s="22">
        <v>-7712</v>
      </c>
      <c r="BT160" s="22">
        <v>3.8871670208947742</v>
      </c>
      <c r="BU160" s="22">
        <v>8.8881717703735291E-2</v>
      </c>
      <c r="BV160" s="23">
        <v>15426</v>
      </c>
      <c r="BW160" s="22">
        <v>14903</v>
      </c>
      <c r="BX160" s="22">
        <v>31.6</v>
      </c>
      <c r="BY160" s="22">
        <v>1.4996870826184039</v>
      </c>
      <c r="BZ160" s="25">
        <v>0.2450748620961388</v>
      </c>
      <c r="CA160" s="23">
        <v>2.6867542601332471E-2</v>
      </c>
      <c r="CB160" s="23">
        <v>2.686754260133247</v>
      </c>
      <c r="CC160" s="23">
        <v>0.4292279461694487</v>
      </c>
      <c r="CD160" s="23">
        <v>3.9305854754660308E-2</v>
      </c>
      <c r="CE160" s="23">
        <v>3.2347817198611614E-2</v>
      </c>
      <c r="CF160" s="23">
        <v>1.2325852521130864</v>
      </c>
      <c r="CG160" s="23">
        <f t="shared" si="63"/>
        <v>0.20911379461403878</v>
      </c>
      <c r="CH160" s="26">
        <v>13.29</v>
      </c>
      <c r="CI160" s="26">
        <v>18.309999999999999</v>
      </c>
      <c r="CJ160" s="26">
        <v>1.1235249809427319</v>
      </c>
      <c r="CK160" s="26">
        <v>1.2626883443016965</v>
      </c>
      <c r="CL160" s="26">
        <v>-0.27416712179137082</v>
      </c>
      <c r="CM160" s="27">
        <v>16.030268199233717</v>
      </c>
      <c r="CN160" s="27">
        <v>-0.29117917128326054</v>
      </c>
      <c r="CQ160" s="27">
        <v>102.09153846153851</v>
      </c>
      <c r="CR160" s="27">
        <v>-0.11911486040268011</v>
      </c>
      <c r="CS160" s="27">
        <v>0.9859003831417622</v>
      </c>
      <c r="CT160" s="27">
        <v>0.92888888888888899</v>
      </c>
      <c r="CU160" s="27">
        <v>6.1376010559312889E-2</v>
      </c>
      <c r="CV160" s="27">
        <v>1.140877862595419</v>
      </c>
      <c r="CW160" s="27">
        <v>2.0572391532349976</v>
      </c>
      <c r="CX160" s="36">
        <v>1.07</v>
      </c>
      <c r="CY160" s="28">
        <v>0.66</v>
      </c>
      <c r="CZ160" s="29">
        <v>18.886297710000001</v>
      </c>
      <c r="DA160" s="27">
        <v>-0.40978411635852152</v>
      </c>
      <c r="DB160" s="27">
        <v>266.87708664986224</v>
      </c>
      <c r="DC160" s="27">
        <v>2.6347679627304119</v>
      </c>
      <c r="DD160" s="27">
        <v>1</v>
      </c>
      <c r="DE160" s="27">
        <v>2</v>
      </c>
      <c r="DF160" s="27">
        <v>90.4</v>
      </c>
      <c r="DG160" s="28">
        <v>4.5042442673981311</v>
      </c>
      <c r="DH160" s="27">
        <v>0.91725999999999996</v>
      </c>
      <c r="DI160" s="27">
        <v>2.2999999999999998</v>
      </c>
      <c r="DJ160" s="27">
        <v>2.4</v>
      </c>
      <c r="DK160" s="27">
        <v>2.1</v>
      </c>
      <c r="DL160" s="27">
        <v>1.3035848693861207E-2</v>
      </c>
      <c r="DM160" s="27">
        <v>0.73780000000000001</v>
      </c>
      <c r="DN160" s="28">
        <v>0.95269999999999999</v>
      </c>
      <c r="DO160" s="28">
        <v>-0.15172290980322323</v>
      </c>
      <c r="DP160" s="28">
        <f t="shared" ref="DP160:DP170" si="77">(DM160-DM159)/DM159</f>
        <v>-7.0780856423173832E-2</v>
      </c>
      <c r="DQ160" s="27">
        <v>0.11370000000000002</v>
      </c>
      <c r="DR160" s="27">
        <v>2.6867542601332471E-2</v>
      </c>
      <c r="DS160" s="27">
        <v>3.2347817198611614E-2</v>
      </c>
      <c r="DT160" s="27">
        <v>3.9305854754660308E-2</v>
      </c>
      <c r="DU160" s="30">
        <v>5.5230399999999999</v>
      </c>
      <c r="DV160">
        <v>0.3</v>
      </c>
      <c r="DW160">
        <v>2.6</v>
      </c>
      <c r="DX160">
        <v>88</v>
      </c>
      <c r="DY160">
        <v>85.1</v>
      </c>
      <c r="DZ160">
        <v>2</v>
      </c>
      <c r="EA160">
        <v>1.5</v>
      </c>
      <c r="EB160">
        <v>1.913224</v>
      </c>
    </row>
    <row r="161" spans="1:132" ht="18">
      <c r="A161" s="14" t="s">
        <v>163</v>
      </c>
      <c r="B161" s="14">
        <v>4</v>
      </c>
      <c r="C161" s="14" t="s">
        <v>150</v>
      </c>
      <c r="D161" s="14" t="s">
        <v>159</v>
      </c>
      <c r="E161" s="14" t="s">
        <v>145</v>
      </c>
      <c r="F161" s="15">
        <v>10951</v>
      </c>
      <c r="G161" s="15">
        <v>4.0394537789617369</v>
      </c>
      <c r="J161" s="16">
        <v>2844</v>
      </c>
      <c r="K161" s="16">
        <v>1</v>
      </c>
      <c r="L161" s="17">
        <v>0.10317116370214049</v>
      </c>
      <c r="M161" s="18">
        <v>130</v>
      </c>
      <c r="N161" s="18">
        <v>116</v>
      </c>
      <c r="O161" s="18">
        <v>0.92474435046080039</v>
      </c>
      <c r="P161" s="18">
        <v>3</v>
      </c>
      <c r="Q161" s="18">
        <f t="shared" si="74"/>
        <v>2.3333333333333335</v>
      </c>
      <c r="R161" s="18">
        <v>130</v>
      </c>
      <c r="S161" s="18">
        <v>5</v>
      </c>
      <c r="T161" s="19">
        <v>51343</v>
      </c>
      <c r="U161" s="19">
        <v>4.7104812411445574</v>
      </c>
      <c r="V161" s="20">
        <v>33863.1</v>
      </c>
      <c r="W161" s="20">
        <v>4.5297267131133729</v>
      </c>
      <c r="X161" s="20">
        <v>0.3</v>
      </c>
      <c r="Y161" s="20">
        <v>0.5451147891</v>
      </c>
      <c r="Z161" s="20">
        <f t="shared" si="60"/>
        <v>-0.26351203529500533</v>
      </c>
      <c r="AA161" s="20">
        <v>0.62974542209999995</v>
      </c>
      <c r="AB161" s="20">
        <v>7050</v>
      </c>
      <c r="AC161" s="20">
        <v>24504</v>
      </c>
      <c r="AD161" s="21">
        <v>10992</v>
      </c>
      <c r="AE161" s="21">
        <f t="shared" si="69"/>
        <v>0.10355743141392824</v>
      </c>
      <c r="AF161" s="21">
        <f t="shared" si="70"/>
        <v>4.0410767197154751</v>
      </c>
      <c r="AG161" s="22">
        <v>6.3687066626469703E-3</v>
      </c>
      <c r="AH161" s="22">
        <v>676</v>
      </c>
      <c r="AI161" s="22">
        <v>3.2107270269999999</v>
      </c>
      <c r="AJ161" s="22">
        <v>112877</v>
      </c>
      <c r="AK161" s="23">
        <f t="shared" si="68"/>
        <v>5.0526054583937103</v>
      </c>
      <c r="AL161" s="24">
        <v>0.35862064100000002</v>
      </c>
      <c r="AM161" s="22">
        <f>17440+33428</f>
        <v>50868</v>
      </c>
      <c r="AN161" s="22">
        <f t="shared" si="64"/>
        <v>0.47923575520048234</v>
      </c>
      <c r="AO161" s="23">
        <v>8.8308839964237815E-2</v>
      </c>
      <c r="AP161" s="33">
        <v>1.818225E-2</v>
      </c>
      <c r="AQ161" s="23">
        <v>0.25964762487721865</v>
      </c>
      <c r="AR161" s="22">
        <v>106144</v>
      </c>
      <c r="AS161" s="23">
        <v>5.0258954498393882</v>
      </c>
      <c r="AT161" s="23">
        <v>4.9383545818246395</v>
      </c>
      <c r="AU161" s="22">
        <v>1.161</v>
      </c>
      <c r="AV161" s="22">
        <v>0.43579776110000001</v>
      </c>
      <c r="AW161" s="22">
        <v>130.5</v>
      </c>
      <c r="AX161" s="22">
        <v>102</v>
      </c>
      <c r="AY161" s="22">
        <v>3</v>
      </c>
      <c r="AZ161" s="24">
        <v>143168</v>
      </c>
      <c r="BA161" s="24">
        <f t="shared" si="61"/>
        <v>5.1558459580805165</v>
      </c>
      <c r="BB161" s="24">
        <v>72565</v>
      </c>
      <c r="BC161" s="24">
        <f t="shared" si="62"/>
        <v>4.8607271995977461</v>
      </c>
      <c r="BD161" s="24">
        <v>70603</v>
      </c>
      <c r="BE161" s="22">
        <v>12643</v>
      </c>
      <c r="BF161" s="22">
        <f t="shared" si="75"/>
        <v>747</v>
      </c>
      <c r="BG161" s="23">
        <v>0.13400304960086107</v>
      </c>
      <c r="BH161" s="23">
        <v>0.1191117726861622</v>
      </c>
      <c r="BI161" s="23">
        <v>0.12849355169592125</v>
      </c>
      <c r="BJ161" s="23">
        <v>3.0652164637409177E-2</v>
      </c>
      <c r="BK161" s="23">
        <v>-7.3013617305566714E-2</v>
      </c>
      <c r="BL161" s="22">
        <v>11149</v>
      </c>
      <c r="BM161" s="22">
        <v>14669</v>
      </c>
      <c r="BN161" s="22">
        <f t="shared" si="76"/>
        <v>3.5</v>
      </c>
      <c r="BO161" s="22">
        <v>4.1664005085750686</v>
      </c>
      <c r="BP161" s="22">
        <v>0.1024600469378632</v>
      </c>
      <c r="BQ161" s="22">
        <v>8.8611255662984847E-3</v>
      </c>
      <c r="BR161" s="22">
        <v>4.3151520118964865E-4</v>
      </c>
      <c r="BS161" s="22">
        <v>-10107</v>
      </c>
      <c r="BT161" s="22">
        <v>4.0046222657007826</v>
      </c>
      <c r="BU161" s="22">
        <v>9.521970153753391E-2</v>
      </c>
      <c r="BV161" s="23">
        <v>15173</v>
      </c>
      <c r="BW161" s="22">
        <v>17713</v>
      </c>
      <c r="BX161" s="22">
        <v>37.54</v>
      </c>
      <c r="BY161" s="22">
        <v>1.5744942682853276</v>
      </c>
      <c r="BZ161" s="25">
        <v>0.18797468354430372</v>
      </c>
      <c r="CA161" s="23">
        <v>3.2347817198611614E-2</v>
      </c>
      <c r="CB161" s="23">
        <v>3.2347817198611613</v>
      </c>
      <c r="CC161" s="23">
        <v>0.50984498019539259</v>
      </c>
      <c r="CD161" s="23">
        <v>2.6867542601332471E-2</v>
      </c>
      <c r="CE161" s="23">
        <v>2.4490842135800685E-2</v>
      </c>
      <c r="CF161" s="23">
        <v>1.4502442787348933</v>
      </c>
      <c r="CG161" s="23">
        <f t="shared" si="63"/>
        <v>0.37173201033635728</v>
      </c>
      <c r="CH161" s="26">
        <v>12.07</v>
      </c>
      <c r="CI161" s="26">
        <v>13.29</v>
      </c>
      <c r="CJ161" s="26">
        <v>1.0817072700973491</v>
      </c>
      <c r="CK161" s="26">
        <v>1.1235249809427319</v>
      </c>
      <c r="CL161" s="26">
        <v>-9.1798344620014974E-2</v>
      </c>
      <c r="CM161" s="27">
        <v>13.248115384615385</v>
      </c>
      <c r="CN161" s="27">
        <v>-0.17355622376619531</v>
      </c>
      <c r="CQ161" s="27">
        <v>81.715444015443992</v>
      </c>
      <c r="CR161" s="27">
        <v>-0.1995865157206041</v>
      </c>
      <c r="CS161" s="27">
        <v>0.91873076923076902</v>
      </c>
      <c r="CT161" s="27">
        <v>0.9859003831417622</v>
      </c>
      <c r="CU161" s="27">
        <v>-6.8130223965370842E-2</v>
      </c>
      <c r="CV161" s="27">
        <v>1.0315769230769232</v>
      </c>
      <c r="CW161" s="27">
        <v>2.0135016181765906</v>
      </c>
      <c r="CX161" s="36">
        <v>0.94</v>
      </c>
      <c r="CY161" s="28">
        <v>1.07</v>
      </c>
      <c r="CZ161" s="29">
        <v>14.03142308</v>
      </c>
      <c r="DA161" s="27">
        <v>-0.25705803776615366</v>
      </c>
      <c r="DB161" s="27">
        <v>1.72976924253802</v>
      </c>
      <c r="DC161" s="27">
        <v>266.87708664986224</v>
      </c>
      <c r="DD161" s="27">
        <v>1</v>
      </c>
      <c r="DE161" s="27">
        <v>1.2</v>
      </c>
      <c r="DF161" s="27">
        <v>92.1</v>
      </c>
      <c r="DG161" s="28">
        <v>4.5228749432612609</v>
      </c>
      <c r="DH161" s="27">
        <v>0.93069000000000002</v>
      </c>
      <c r="DI161" s="27">
        <v>2.2000000000000002</v>
      </c>
      <c r="DJ161" s="27">
        <v>1.4</v>
      </c>
      <c r="DK161" s="27">
        <v>1.5</v>
      </c>
      <c r="DL161" s="27">
        <v>8.4498661866614921E-3</v>
      </c>
      <c r="DM161" s="27">
        <v>0.84399999999999997</v>
      </c>
      <c r="DN161" s="28">
        <v>0.79300000000000004</v>
      </c>
      <c r="DO161" s="28">
        <v>-0.167628844337147</v>
      </c>
      <c r="DP161" s="28">
        <f t="shared" si="77"/>
        <v>0.14394144754676058</v>
      </c>
      <c r="DQ161" s="27">
        <v>0.11509999999999998</v>
      </c>
      <c r="DR161" s="27">
        <v>3.2347817198611614E-2</v>
      </c>
      <c r="DS161" s="27">
        <v>2.4490842135800685E-2</v>
      </c>
      <c r="DT161" s="27">
        <v>2.6867542601332471E-2</v>
      </c>
      <c r="DU161" s="30">
        <v>5.0767810000000004</v>
      </c>
      <c r="DV161">
        <v>-0.3</v>
      </c>
      <c r="DW161">
        <v>0.7</v>
      </c>
      <c r="DX161">
        <v>90.9</v>
      </c>
      <c r="DY161">
        <v>87.4</v>
      </c>
      <c r="DZ161">
        <v>1.6</v>
      </c>
      <c r="EA161">
        <v>1</v>
      </c>
      <c r="EB161">
        <v>2.1595819999999999</v>
      </c>
    </row>
    <row r="162" spans="1:132" ht="18">
      <c r="A162" s="14" t="s">
        <v>163</v>
      </c>
      <c r="B162" s="14">
        <v>5</v>
      </c>
      <c r="C162" s="14" t="s">
        <v>150</v>
      </c>
      <c r="D162" s="14" t="s">
        <v>159</v>
      </c>
      <c r="E162" s="14" t="s">
        <v>145</v>
      </c>
      <c r="F162" s="15">
        <v>11068</v>
      </c>
      <c r="G162" s="15">
        <v>4.0440691504689141</v>
      </c>
      <c r="J162" s="16"/>
      <c r="K162" s="16"/>
      <c r="L162" s="17">
        <v>0.10518612850802581</v>
      </c>
      <c r="M162" s="18">
        <v>130</v>
      </c>
      <c r="N162" s="18">
        <v>116</v>
      </c>
      <c r="O162" s="18">
        <v>0.92474435046080039</v>
      </c>
      <c r="P162" s="18">
        <v>3</v>
      </c>
      <c r="Q162" s="18">
        <f t="shared" si="74"/>
        <v>2.3333333333333335</v>
      </c>
      <c r="R162" s="18">
        <v>130</v>
      </c>
      <c r="S162" s="18">
        <v>5</v>
      </c>
      <c r="T162" s="19">
        <v>45920</v>
      </c>
      <c r="U162" s="19">
        <v>4.6620018793899174</v>
      </c>
      <c r="V162" s="20">
        <v>30422.400000000001</v>
      </c>
      <c r="W162" s="20">
        <v>4.4831934722298685</v>
      </c>
      <c r="X162" s="20">
        <v>0.32</v>
      </c>
      <c r="Y162" s="20">
        <v>0.55994788100000004</v>
      </c>
      <c r="Z162" s="20">
        <f t="shared" si="60"/>
        <v>-0.25185239450716218</v>
      </c>
      <c r="AA162" s="20">
        <v>0.63938575769999995</v>
      </c>
      <c r="AB162" s="20">
        <v>7578</v>
      </c>
      <c r="AC162" s="20">
        <v>25355</v>
      </c>
      <c r="AD162" s="21">
        <v>8306</v>
      </c>
      <c r="AE162" s="21">
        <f t="shared" si="69"/>
        <v>7.8937114509185252E-2</v>
      </c>
      <c r="AF162" s="21">
        <f t="shared" si="70"/>
        <v>3.9193919267738595</v>
      </c>
      <c r="AG162" s="22">
        <v>5.407562985278884E-3</v>
      </c>
      <c r="AH162" s="22">
        <v>569</v>
      </c>
      <c r="AI162" s="22">
        <v>3.288608913</v>
      </c>
      <c r="AJ162" s="22">
        <v>95070</v>
      </c>
      <c r="AK162" s="23">
        <f t="shared" si="68"/>
        <v>4.9780434939099631</v>
      </c>
      <c r="AL162" s="24">
        <v>0.298565688</v>
      </c>
      <c r="AM162" s="22">
        <f>16379+33522</f>
        <v>49901</v>
      </c>
      <c r="AN162" s="22">
        <f t="shared" si="64"/>
        <v>0.47424042272126815</v>
      </c>
      <c r="AO162" s="23">
        <v>7.890014434142599E-2</v>
      </c>
      <c r="AP162" s="33">
        <v>1.9736066E-2</v>
      </c>
      <c r="AQ162" s="23">
        <v>0.29526058882196532</v>
      </c>
      <c r="AR162" s="22">
        <v>105223</v>
      </c>
      <c r="AS162" s="23">
        <v>5.0221106797541681</v>
      </c>
      <c r="AT162" s="23">
        <v>5.0258954498393882</v>
      </c>
      <c r="AU162" s="22">
        <v>1.181</v>
      </c>
      <c r="AV162" s="22">
        <v>0.4968130751</v>
      </c>
      <c r="AW162" s="22">
        <v>132.6</v>
      </c>
      <c r="AX162" s="22">
        <v>130.5</v>
      </c>
      <c r="AY162" s="22">
        <v>3</v>
      </c>
      <c r="AZ162" s="24">
        <v>153802</v>
      </c>
      <c r="BA162" s="24">
        <f t="shared" si="61"/>
        <v>5.1869619829512139</v>
      </c>
      <c r="BB162" s="24">
        <v>83334</v>
      </c>
      <c r="BC162" s="24">
        <f t="shared" si="62"/>
        <v>4.920822228294333</v>
      </c>
      <c r="BD162" s="24">
        <v>70468</v>
      </c>
      <c r="BE162" s="22">
        <v>12135</v>
      </c>
      <c r="BF162" s="22">
        <f t="shared" si="75"/>
        <v>254</v>
      </c>
      <c r="BG162" s="23">
        <v>-4.0180336945345251E-2</v>
      </c>
      <c r="BH162" s="23">
        <v>0.11532649705862787</v>
      </c>
      <c r="BI162" s="23">
        <v>0.1191117726861622</v>
      </c>
      <c r="BJ162" s="23">
        <v>3.0652164637409177E-2</v>
      </c>
      <c r="BK162" s="23">
        <v>-3.1779189765799604E-2</v>
      </c>
      <c r="BL162" s="22">
        <v>12643</v>
      </c>
      <c r="BM162" s="22">
        <v>16061</v>
      </c>
      <c r="BN162" s="22">
        <f t="shared" si="76"/>
        <v>696</v>
      </c>
      <c r="BO162" s="22">
        <v>4.2057725820984198</v>
      </c>
      <c r="BP162" s="22">
        <v>0.10442647039700394</v>
      </c>
      <c r="BQ162" s="22">
        <v>9.8321172957036712E-4</v>
      </c>
      <c r="BR162" s="22">
        <v>8.8611255662984847E-3</v>
      </c>
      <c r="BS162" s="22">
        <v>-9574</v>
      </c>
      <c r="BT162" s="22">
        <v>3.9810934231459298</v>
      </c>
      <c r="BU162" s="22">
        <v>9.0987711812056296E-2</v>
      </c>
      <c r="BV162" s="23">
        <v>16981</v>
      </c>
      <c r="BW162" s="22">
        <v>20032</v>
      </c>
      <c r="BX162" s="22">
        <v>43.3</v>
      </c>
      <c r="BY162" s="22">
        <v>1.6364878963533653</v>
      </c>
      <c r="BZ162" s="25">
        <v>0.15343633457645173</v>
      </c>
      <c r="CA162" s="23">
        <v>2.4490842135800685E-2</v>
      </c>
      <c r="CB162" s="23">
        <v>2.4490842135800683</v>
      </c>
      <c r="CC162" s="23">
        <v>0.38900371891986085</v>
      </c>
      <c r="CD162" s="23">
        <v>3.2347817198611614E-2</v>
      </c>
      <c r="CE162" s="23">
        <v>2.77430650961079E-2</v>
      </c>
      <c r="CF162" s="23">
        <v>1.2308684436801374</v>
      </c>
      <c r="CG162" s="23">
        <f t="shared" si="63"/>
        <v>0.20771997201950515</v>
      </c>
      <c r="CH162" s="26">
        <v>11.56</v>
      </c>
      <c r="CI162" s="26">
        <v>12.07</v>
      </c>
      <c r="CJ162" s="26">
        <v>1.0629578340845103</v>
      </c>
      <c r="CK162" s="26">
        <v>1.0817072700973491</v>
      </c>
      <c r="CL162" s="26">
        <v>-4.2253521126760542E-2</v>
      </c>
      <c r="CM162" s="27">
        <v>13.296884615384608</v>
      </c>
      <c r="CN162" s="27">
        <v>3.681220260646025E-3</v>
      </c>
      <c r="CQ162" s="27">
        <v>67.989575289575299</v>
      </c>
      <c r="CR162" s="27">
        <v>-0.167971536975</v>
      </c>
      <c r="CS162" s="27">
        <v>0.84238461538461584</v>
      </c>
      <c r="CT162" s="27">
        <v>0.91873076923076902</v>
      </c>
      <c r="CU162" s="27">
        <v>-8.3099593921379125E-2</v>
      </c>
      <c r="CV162" s="27">
        <v>0.92230769230769172</v>
      </c>
      <c r="CW162" s="27">
        <v>1.9648758307920116</v>
      </c>
      <c r="CX162" s="36">
        <v>0.56000000000000005</v>
      </c>
      <c r="CY162" s="28">
        <v>0.94</v>
      </c>
      <c r="CZ162" s="29">
        <v>16.52657692</v>
      </c>
      <c r="DA162" s="27">
        <v>0.17782614249273998</v>
      </c>
      <c r="DB162" s="27">
        <v>1.322681365714484</v>
      </c>
      <c r="DC162" s="27">
        <v>1.72976924253802</v>
      </c>
      <c r="DD162" s="27">
        <v>1</v>
      </c>
      <c r="DE162" s="27">
        <v>0.7</v>
      </c>
      <c r="DF162" s="27">
        <v>94.1</v>
      </c>
      <c r="DG162" s="28">
        <v>4.5443580465913342</v>
      </c>
      <c r="DH162" s="27">
        <v>0.94418000000000002</v>
      </c>
      <c r="DI162" s="27">
        <v>1.9</v>
      </c>
      <c r="DJ162" s="27">
        <v>1.6</v>
      </c>
      <c r="DK162" s="27">
        <v>1.8</v>
      </c>
      <c r="DL162" s="27">
        <v>7.6672365931182819E-3</v>
      </c>
      <c r="DM162" s="27">
        <v>0.75770000000000004</v>
      </c>
      <c r="DN162" s="28">
        <v>0.74250000000000005</v>
      </c>
      <c r="DO162" s="28">
        <v>-6.3682219419924316E-2</v>
      </c>
      <c r="DP162" s="28">
        <f t="shared" si="77"/>
        <v>-0.10225118483412314</v>
      </c>
      <c r="DQ162" s="27">
        <v>9.7799999999999998E-2</v>
      </c>
      <c r="DR162" s="27">
        <v>2.4490842135800685E-2</v>
      </c>
      <c r="DS162" s="27">
        <v>2.77430650961079E-2</v>
      </c>
      <c r="DT162" s="27">
        <v>3.2347817198611614E-2</v>
      </c>
      <c r="DU162" s="30">
        <v>4.6174650000000002</v>
      </c>
      <c r="DV162">
        <v>-0.5</v>
      </c>
      <c r="DW162">
        <v>-0.4</v>
      </c>
      <c r="DX162">
        <v>93.7</v>
      </c>
      <c r="DY162">
        <v>89.8</v>
      </c>
      <c r="DZ162">
        <v>1.6</v>
      </c>
      <c r="EA162">
        <v>1.7</v>
      </c>
      <c r="EB162">
        <v>2.2385109999999999</v>
      </c>
    </row>
    <row r="163" spans="1:132" ht="18">
      <c r="A163" s="14" t="s">
        <v>163</v>
      </c>
      <c r="B163" s="14">
        <v>6</v>
      </c>
      <c r="C163" s="14" t="s">
        <v>150</v>
      </c>
      <c r="D163" s="14" t="s">
        <v>159</v>
      </c>
      <c r="E163" s="14" t="s">
        <v>145</v>
      </c>
      <c r="F163" s="15">
        <v>6976</v>
      </c>
      <c r="G163" s="15">
        <v>3.8436064719245109</v>
      </c>
      <c r="J163" s="16"/>
      <c r="K163" s="16"/>
      <c r="L163" s="17">
        <v>6.1440360750742024E-2</v>
      </c>
      <c r="M163" s="18">
        <v>130</v>
      </c>
      <c r="N163" s="18">
        <v>116</v>
      </c>
      <c r="O163" s="18">
        <v>0.92474435046080039</v>
      </c>
      <c r="P163" s="18">
        <v>3</v>
      </c>
      <c r="Q163" s="18">
        <f t="shared" si="74"/>
        <v>2.3333333333333335</v>
      </c>
      <c r="R163" s="18">
        <v>130</v>
      </c>
      <c r="S163" s="18">
        <v>5</v>
      </c>
      <c r="T163" s="19">
        <v>47046</v>
      </c>
      <c r="U163" s="19">
        <v>4.6725227042398814</v>
      </c>
      <c r="V163" s="20">
        <v>31825.86</v>
      </c>
      <c r="W163" s="20">
        <v>4.5027801480117295</v>
      </c>
      <c r="X163" s="20">
        <v>0.33</v>
      </c>
      <c r="Y163" s="20">
        <v>0.54483162389999995</v>
      </c>
      <c r="Z163" s="20">
        <f t="shared" si="60"/>
        <v>-0.26373769241929518</v>
      </c>
      <c r="AA163" s="20">
        <v>0.64468520730000001</v>
      </c>
      <c r="AB163" s="20">
        <v>7557</v>
      </c>
      <c r="AC163" s="20">
        <v>25126</v>
      </c>
      <c r="AD163" s="21">
        <v>6349</v>
      </c>
      <c r="AE163" s="21">
        <f t="shared" si="69"/>
        <v>5.5918126491751881E-2</v>
      </c>
      <c r="AF163" s="21">
        <f t="shared" si="70"/>
        <v>3.802705327074352</v>
      </c>
      <c r="AG163" s="22">
        <v>5.2315903506222425E-3</v>
      </c>
      <c r="AH163" s="22">
        <v>594</v>
      </c>
      <c r="AI163" s="22">
        <v>3.0340184579999998</v>
      </c>
      <c r="AJ163" s="22">
        <v>96442</v>
      </c>
      <c r="AK163" s="23">
        <f t="shared" si="68"/>
        <v>4.9842662081338425</v>
      </c>
      <c r="AL163" s="24">
        <v>0.29634902200000002</v>
      </c>
      <c r="AM163" s="22">
        <f>17303+35662</f>
        <v>52965</v>
      </c>
      <c r="AN163" s="22">
        <f t="shared" si="64"/>
        <v>0.46648347293048326</v>
      </c>
      <c r="AO163" s="23">
        <v>8.5258768393469062E-2</v>
      </c>
      <c r="AP163" s="33">
        <v>2.5736539999999999E-2</v>
      </c>
      <c r="AQ163" s="23">
        <v>0.41055016028744346</v>
      </c>
      <c r="AR163" s="22">
        <v>113541</v>
      </c>
      <c r="AS163" s="23">
        <v>5.0551527149076199</v>
      </c>
      <c r="AT163" s="23">
        <v>5.0221106797541681</v>
      </c>
      <c r="AU163" s="22">
        <v>1.125</v>
      </c>
      <c r="AV163" s="22">
        <v>0.43445985110000002</v>
      </c>
      <c r="AW163" s="22">
        <v>136.1</v>
      </c>
      <c r="AX163" s="22">
        <v>132.6</v>
      </c>
      <c r="AY163" s="22">
        <v>3</v>
      </c>
      <c r="AZ163" s="24">
        <v>158752</v>
      </c>
      <c r="BA163" s="24">
        <f t="shared" si="61"/>
        <v>5.2007192053560916</v>
      </c>
      <c r="BB163" s="24">
        <v>87807</v>
      </c>
      <c r="BC163" s="24">
        <f t="shared" si="62"/>
        <v>4.943529139370713</v>
      </c>
      <c r="BD163" s="24">
        <v>70945</v>
      </c>
      <c r="BE163" s="22">
        <v>13535</v>
      </c>
      <c r="BF163" s="22">
        <f t="shared" si="75"/>
        <v>700</v>
      </c>
      <c r="BG163" s="23">
        <v>0.11536876802637</v>
      </c>
      <c r="BH163" s="23">
        <v>0.11920803938665328</v>
      </c>
      <c r="BI163" s="23">
        <v>0.11532649705862787</v>
      </c>
      <c r="BJ163" s="23">
        <v>3.0652164637409177E-2</v>
      </c>
      <c r="BK163" s="23">
        <v>3.3656986269618307E-2</v>
      </c>
      <c r="BL163" s="22">
        <v>12135</v>
      </c>
      <c r="BM163" s="22">
        <v>17686</v>
      </c>
      <c r="BN163" s="22">
        <f t="shared" si="76"/>
        <v>812.5</v>
      </c>
      <c r="BO163" s="22">
        <v>4.2476296206791142</v>
      </c>
      <c r="BP163" s="22">
        <v>0.11140647046966337</v>
      </c>
      <c r="BQ163" s="22">
        <v>3.4900000363297171E-3</v>
      </c>
      <c r="BR163" s="22">
        <v>9.8321172957036712E-4</v>
      </c>
      <c r="BS163" s="22">
        <v>-10166</v>
      </c>
      <c r="BT163" s="22">
        <v>4.0071501053666845</v>
      </c>
      <c r="BU163" s="22">
        <v>8.9535938559639247E-2</v>
      </c>
      <c r="BV163" s="23">
        <v>13508</v>
      </c>
      <c r="BW163" s="22">
        <v>19489</v>
      </c>
      <c r="BX163" s="22">
        <v>55.31</v>
      </c>
      <c r="BY163" s="22">
        <v>1.7428036584691655</v>
      </c>
      <c r="BZ163" s="25">
        <v>0.27736720554272531</v>
      </c>
      <c r="CA163" s="23">
        <v>2.77430650961079E-2</v>
      </c>
      <c r="CB163" s="23">
        <v>2.7743065096107902</v>
      </c>
      <c r="CC163" s="23">
        <v>0.44315444090415423</v>
      </c>
      <c r="CD163" s="23">
        <v>2.4490842135800685E-2</v>
      </c>
      <c r="CE163" s="23">
        <v>5.0662060808238797E-2</v>
      </c>
      <c r="CF163" s="23">
        <v>1.3118146079039934</v>
      </c>
      <c r="CG163" s="23">
        <f t="shared" si="63"/>
        <v>0.27141137558618755</v>
      </c>
      <c r="CH163" s="26">
        <v>22.5</v>
      </c>
      <c r="CI163" s="26">
        <v>11.56</v>
      </c>
      <c r="CJ163" s="26">
        <v>1.3521825181113625</v>
      </c>
      <c r="CK163" s="26">
        <v>1.0629578340845103</v>
      </c>
      <c r="CL163" s="26">
        <v>0.94636678200692037</v>
      </c>
      <c r="CM163" s="27">
        <v>18.34360153256705</v>
      </c>
      <c r="CN163" s="27">
        <v>0.37954130333231201</v>
      </c>
      <c r="CQ163" s="27">
        <v>77.833846153846167</v>
      </c>
      <c r="CR163" s="27">
        <v>0.14479088628430173</v>
      </c>
      <c r="CS163" s="27">
        <v>0.72605363984674265</v>
      </c>
      <c r="CT163" s="27">
        <v>0.84238461538461584</v>
      </c>
      <c r="CU163" s="27">
        <v>-0.13809722235342442</v>
      </c>
      <c r="CV163" s="27">
        <v>0.78180076628352502</v>
      </c>
      <c r="CW163" s="27">
        <v>1.8930960917710087</v>
      </c>
      <c r="CX163" s="36">
        <v>0.88</v>
      </c>
      <c r="CY163" s="28">
        <v>0.56000000000000005</v>
      </c>
      <c r="CZ163" s="29">
        <v>19.614636019999999</v>
      </c>
      <c r="DA163" s="27">
        <v>0.18685412683753744</v>
      </c>
      <c r="DB163" s="27">
        <v>2.3607257116750975</v>
      </c>
      <c r="DC163" s="27">
        <v>1.322681365714484</v>
      </c>
      <c r="DD163" s="27">
        <v>1</v>
      </c>
      <c r="DE163" s="27">
        <v>0</v>
      </c>
      <c r="DF163" s="27">
        <v>96.5</v>
      </c>
      <c r="DG163" s="28">
        <v>4.5695430083449402</v>
      </c>
      <c r="DH163" s="27">
        <v>0.95938999999999997</v>
      </c>
      <c r="DI163" s="27">
        <v>1.9</v>
      </c>
      <c r="DJ163" s="27">
        <v>1.7</v>
      </c>
      <c r="DK163" s="27">
        <v>1.8</v>
      </c>
      <c r="DL163" s="27">
        <v>1.679984422560547E-2</v>
      </c>
      <c r="DM163" s="27">
        <v>0.6855</v>
      </c>
      <c r="DN163" s="28">
        <v>0.84760000000000002</v>
      </c>
      <c r="DO163" s="28">
        <v>0.14154882154882151</v>
      </c>
      <c r="DP163" s="28">
        <f t="shared" si="77"/>
        <v>-9.5288372706876123E-2</v>
      </c>
      <c r="DQ163" s="27">
        <v>0.10279999999999989</v>
      </c>
      <c r="DR163" s="27">
        <v>2.77430650961079E-2</v>
      </c>
      <c r="DS163" s="27">
        <v>5.0662060808238797E-2</v>
      </c>
      <c r="DT163" s="27">
        <v>2.4490842135800685E-2</v>
      </c>
      <c r="DU163" s="30">
        <v>4.6191050000000002</v>
      </c>
      <c r="DV163">
        <v>-0.9</v>
      </c>
      <c r="DW163">
        <v>-0.7</v>
      </c>
      <c r="DX163">
        <v>96.2</v>
      </c>
      <c r="DY163">
        <v>92.4</v>
      </c>
      <c r="DZ163">
        <v>2.1</v>
      </c>
      <c r="EA163">
        <v>1.9</v>
      </c>
      <c r="EB163">
        <v>2.1588159999999998</v>
      </c>
    </row>
    <row r="164" spans="1:132" ht="18">
      <c r="A164" s="14" t="s">
        <v>163</v>
      </c>
      <c r="B164" s="14">
        <v>7</v>
      </c>
      <c r="C164" s="14" t="s">
        <v>150</v>
      </c>
      <c r="D164" s="14" t="s">
        <v>159</v>
      </c>
      <c r="E164" s="14" t="s">
        <v>145</v>
      </c>
      <c r="F164" s="15">
        <v>8972</v>
      </c>
      <c r="G164" s="15">
        <v>3.95288926491093</v>
      </c>
      <c r="J164" s="16"/>
      <c r="K164" s="16"/>
      <c r="L164" s="17">
        <v>7.5834671625390926E-2</v>
      </c>
      <c r="M164" s="18">
        <v>130</v>
      </c>
      <c r="N164" s="18">
        <v>116</v>
      </c>
      <c r="O164" s="18">
        <v>0.92474435046080039</v>
      </c>
      <c r="P164" s="18">
        <v>3</v>
      </c>
      <c r="Q164" s="18">
        <f t="shared" si="74"/>
        <v>2.3333333333333335</v>
      </c>
      <c r="R164" s="18">
        <v>130</v>
      </c>
      <c r="S164" s="18">
        <v>5</v>
      </c>
      <c r="T164" s="19">
        <v>53599</v>
      </c>
      <c r="U164" s="19">
        <v>4.7291566871081949</v>
      </c>
      <c r="V164" s="20">
        <v>32287.347000000002</v>
      </c>
      <c r="W164" s="20">
        <v>4.5090323611956773</v>
      </c>
      <c r="X164" s="20">
        <v>0.33300000000000002</v>
      </c>
      <c r="Y164" s="20">
        <v>0.59705145390000003</v>
      </c>
      <c r="Z164" s="20">
        <f t="shared" si="60"/>
        <v>-0.22398823975518825</v>
      </c>
      <c r="AA164" s="20">
        <v>0.61075353219999995</v>
      </c>
      <c r="AB164" s="20">
        <v>7781</v>
      </c>
      <c r="AC164" s="20">
        <v>30738</v>
      </c>
      <c r="AD164" s="21">
        <v>4614</v>
      </c>
      <c r="AE164" s="21">
        <f t="shared" si="69"/>
        <v>3.8999239286619899E-2</v>
      </c>
      <c r="AF164" s="21">
        <f t="shared" si="70"/>
        <v>3.6640775901850748</v>
      </c>
      <c r="AG164" s="22">
        <v>5.1728509847012083E-3</v>
      </c>
      <c r="AH164" s="22">
        <v>612</v>
      </c>
      <c r="AI164" s="22">
        <v>1.883981058</v>
      </c>
      <c r="AJ164" s="22">
        <v>96959</v>
      </c>
      <c r="AK164" s="23">
        <f t="shared" si="68"/>
        <v>4.9865881276893571</v>
      </c>
      <c r="AL164" s="24">
        <v>0.29781193</v>
      </c>
      <c r="AM164" s="22">
        <f>17842+34327</f>
        <v>52169</v>
      </c>
      <c r="AN164" s="22">
        <f t="shared" si="64"/>
        <v>0.4409517369622179</v>
      </c>
      <c r="AO164" s="23">
        <v>6.085811441525537E-2</v>
      </c>
      <c r="AP164" s="33">
        <v>4.0435066999999998E-2</v>
      </c>
      <c r="AQ164" s="23">
        <v>0.60675816706345653</v>
      </c>
      <c r="AR164" s="22">
        <v>118310</v>
      </c>
      <c r="AS164" s="23">
        <v>5.0730214543597389</v>
      </c>
      <c r="AT164" s="23">
        <v>5.0551527149076199</v>
      </c>
      <c r="AU164" s="22">
        <v>1.028</v>
      </c>
      <c r="AV164" s="22">
        <v>0.48810009799999998</v>
      </c>
      <c r="AW164" s="22">
        <v>92.3</v>
      </c>
      <c r="AX164" s="22">
        <v>136.1</v>
      </c>
      <c r="AY164" s="22">
        <v>2</v>
      </c>
      <c r="AZ164" s="24">
        <v>179976</v>
      </c>
      <c r="BA164" s="24">
        <f t="shared" si="61"/>
        <v>5.2552145953116467</v>
      </c>
      <c r="BB164" s="24">
        <v>111024</v>
      </c>
      <c r="BC164" s="24">
        <f t="shared" si="62"/>
        <v>5.045416870146207</v>
      </c>
      <c r="BD164" s="24">
        <v>68952</v>
      </c>
      <c r="BE164" s="22">
        <v>10953</v>
      </c>
      <c r="BF164" s="22">
        <f t="shared" si="75"/>
        <v>1291</v>
      </c>
      <c r="BG164" s="23">
        <v>-0.19076468415219799</v>
      </c>
      <c r="BH164" s="23">
        <v>9.2578818358549572E-2</v>
      </c>
      <c r="BI164" s="23">
        <v>0.11920803938665328</v>
      </c>
      <c r="BJ164" s="23">
        <v>3.0652164637409177E-2</v>
      </c>
      <c r="BK164" s="23">
        <v>-0.22338443921329318</v>
      </c>
      <c r="BL164" s="22">
        <v>13535</v>
      </c>
      <c r="BM164" s="22">
        <v>18669</v>
      </c>
      <c r="BN164" s="22">
        <f t="shared" si="76"/>
        <v>491.5</v>
      </c>
      <c r="BO164" s="22">
        <v>4.2711210557041328</v>
      </c>
      <c r="BP164" s="22">
        <v>0.10373049739965329</v>
      </c>
      <c r="BQ164" s="22">
        <v>3.8379865350050418E-3</v>
      </c>
      <c r="BR164" s="22">
        <v>3.4900000363297171E-3</v>
      </c>
      <c r="BS164" s="22">
        <v>-11055</v>
      </c>
      <c r="BT164" s="22">
        <v>4.0435587469147327</v>
      </c>
      <c r="BU164" s="22">
        <v>9.3440960189333108E-2</v>
      </c>
      <c r="BV164" s="23">
        <v>11848</v>
      </c>
      <c r="BW164" s="22">
        <v>23913</v>
      </c>
      <c r="BX164" s="22">
        <v>39.58</v>
      </c>
      <c r="BY164" s="22">
        <v>1.5974757898703775</v>
      </c>
      <c r="BZ164" s="25">
        <v>-0.28439703489423257</v>
      </c>
      <c r="CA164" s="23">
        <v>5.0662060808238797E-2</v>
      </c>
      <c r="CB164" s="23">
        <v>5.0662060808238794</v>
      </c>
      <c r="CC164" s="23">
        <v>0.70468285184700785</v>
      </c>
      <c r="CD164" s="23">
        <v>2.77430650961079E-2</v>
      </c>
      <c r="CE164" s="23">
        <v>3.802148779895468E-2</v>
      </c>
      <c r="CF164" s="23">
        <v>1.8876903553299493</v>
      </c>
      <c r="CG164" s="23">
        <f t="shared" si="63"/>
        <v>0.63535404756190572</v>
      </c>
      <c r="CH164" s="26">
        <v>40</v>
      </c>
      <c r="CI164" s="26">
        <v>22.5</v>
      </c>
      <c r="CJ164" s="26">
        <v>1.6020599913279623</v>
      </c>
      <c r="CK164" s="26">
        <v>1.3521825181113625</v>
      </c>
      <c r="CL164" s="26">
        <v>0.77777777777777779</v>
      </c>
      <c r="CM164" s="27">
        <v>34.430804597701169</v>
      </c>
      <c r="CN164" s="27">
        <v>0.87699261437690179</v>
      </c>
      <c r="CO164" s="27">
        <v>14.00272</v>
      </c>
      <c r="CQ164" s="27">
        <v>141.16230769230771</v>
      </c>
      <c r="CR164" s="27">
        <v>0.81363654332700808</v>
      </c>
      <c r="CS164" s="27">
        <v>1.4151340996168575</v>
      </c>
      <c r="CT164" s="27">
        <v>0.72605363984674265</v>
      </c>
      <c r="CU164" s="27">
        <v>0.94907651715039654</v>
      </c>
      <c r="CV164" s="27">
        <v>1.549389312977099</v>
      </c>
      <c r="CW164" s="27">
        <v>2.1901605560639821</v>
      </c>
      <c r="CX164" s="36">
        <v>2.34</v>
      </c>
      <c r="CY164" s="28">
        <v>0.88</v>
      </c>
      <c r="CZ164" s="29">
        <v>33.709007630000002</v>
      </c>
      <c r="DA164" s="27">
        <v>0.71856401493398725</v>
      </c>
      <c r="DB164" s="27">
        <v>3.1430399491928545</v>
      </c>
      <c r="DC164" s="27">
        <v>2.3607257116750975</v>
      </c>
      <c r="DD164" s="27">
        <v>1</v>
      </c>
      <c r="DE164" s="27">
        <v>-0.4</v>
      </c>
      <c r="DF164" s="27">
        <v>98.8</v>
      </c>
      <c r="DG164" s="28">
        <v>4.5930976047538223</v>
      </c>
      <c r="DH164" s="27">
        <v>0.97638000000000003</v>
      </c>
      <c r="DI164" s="27">
        <v>1.8</v>
      </c>
      <c r="DJ164" s="27">
        <v>1.8</v>
      </c>
      <c r="DK164" s="27">
        <v>2</v>
      </c>
      <c r="DL164" s="27">
        <v>4.1965997035105826E-2</v>
      </c>
      <c r="DM164" s="27">
        <v>0.71560000000000001</v>
      </c>
      <c r="DN164" s="28">
        <v>0.75849999999999995</v>
      </c>
      <c r="DO164" s="28">
        <v>-0.10512033978291654</v>
      </c>
      <c r="DP164" s="28">
        <f t="shared" si="77"/>
        <v>4.3909555069292512E-2</v>
      </c>
      <c r="DQ164" s="27">
        <v>0.17789999999999995</v>
      </c>
      <c r="DR164" s="27">
        <v>5.0662060808238797E-2</v>
      </c>
      <c r="DS164" s="27">
        <v>3.802148779895468E-2</v>
      </c>
      <c r="DT164" s="27">
        <v>2.77430650961079E-2</v>
      </c>
      <c r="DU164" s="30">
        <v>5.7984980000000004</v>
      </c>
      <c r="DV164">
        <v>-1</v>
      </c>
      <c r="DW164">
        <v>0.7</v>
      </c>
      <c r="DX164">
        <v>98</v>
      </c>
      <c r="DY164">
        <v>95</v>
      </c>
      <c r="DZ164">
        <v>1.6</v>
      </c>
      <c r="EA164">
        <v>1.7</v>
      </c>
      <c r="EB164">
        <v>2.0603549999999999</v>
      </c>
    </row>
    <row r="165" spans="1:132" ht="18">
      <c r="A165" s="14" t="s">
        <v>163</v>
      </c>
      <c r="B165" s="14">
        <v>8</v>
      </c>
      <c r="C165" s="14" t="s">
        <v>150</v>
      </c>
      <c r="D165" s="14" t="s">
        <v>159</v>
      </c>
      <c r="E165" s="14" t="s">
        <v>145</v>
      </c>
      <c r="F165" s="15">
        <v>8398</v>
      </c>
      <c r="G165" s="15">
        <v>3.9241758703019207</v>
      </c>
      <c r="J165" s="16"/>
      <c r="K165" s="16"/>
      <c r="L165" s="17">
        <v>6.5736225372398302E-2</v>
      </c>
      <c r="M165" s="18">
        <v>130</v>
      </c>
      <c r="N165" s="18">
        <v>116</v>
      </c>
      <c r="O165" s="18">
        <v>0.92474435046080039</v>
      </c>
      <c r="P165" s="18">
        <v>3</v>
      </c>
      <c r="Q165" s="18">
        <f t="shared" si="74"/>
        <v>2.3333333333333335</v>
      </c>
      <c r="R165" s="18">
        <v>130</v>
      </c>
      <c r="S165" s="18">
        <v>5</v>
      </c>
      <c r="T165" s="19">
        <v>38750</v>
      </c>
      <c r="U165" s="19">
        <v>4.5882717068423293</v>
      </c>
      <c r="V165" s="20">
        <v>26313.651000000002</v>
      </c>
      <c r="W165" s="20">
        <v>4.4201811103109891</v>
      </c>
      <c r="X165" s="20">
        <v>0.27300000000000002</v>
      </c>
      <c r="Y165" s="20">
        <v>0.62454317810000004</v>
      </c>
      <c r="Z165" s="20">
        <f t="shared" si="60"/>
        <v>-0.20443753108914206</v>
      </c>
      <c r="AA165" s="20">
        <v>0.72349988759999995</v>
      </c>
      <c r="AB165" s="20">
        <v>9658</v>
      </c>
      <c r="AC165" s="20">
        <v>36913</v>
      </c>
      <c r="AD165" s="21">
        <v>6349</v>
      </c>
      <c r="AE165" s="21">
        <f t="shared" si="69"/>
        <v>4.969746307327421E-2</v>
      </c>
      <c r="AF165" s="21">
        <f t="shared" si="70"/>
        <v>3.802705327074352</v>
      </c>
      <c r="AG165" s="22">
        <v>5.087943140278506E-3</v>
      </c>
      <c r="AH165" s="22">
        <v>650</v>
      </c>
      <c r="AI165" s="22">
        <v>2.0113411480000001</v>
      </c>
      <c r="AJ165" s="22">
        <v>96387</v>
      </c>
      <c r="AK165" s="23">
        <f t="shared" si="68"/>
        <v>4.9840184632702336</v>
      </c>
      <c r="AL165" s="24">
        <v>0.29506499000000003</v>
      </c>
      <c r="AM165" s="22">
        <f>39806+34408</f>
        <v>74214</v>
      </c>
      <c r="AN165" s="22">
        <f t="shared" si="64"/>
        <v>0.58091786494250619</v>
      </c>
      <c r="AO165" s="23">
        <v>6.5706214259063256E-2</v>
      </c>
      <c r="AP165" s="33">
        <v>1.4762178000000001E-2</v>
      </c>
      <c r="AQ165" s="23">
        <v>0.169150437676723</v>
      </c>
      <c r="AR165" s="22">
        <v>127753</v>
      </c>
      <c r="AS165" s="23">
        <v>5.106371107383251</v>
      </c>
      <c r="AT165" s="23">
        <v>5.0730214543597389</v>
      </c>
      <c r="AU165" s="22">
        <v>1.022</v>
      </c>
      <c r="AV165" s="22">
        <v>0.50294945960000004</v>
      </c>
      <c r="AW165" s="22">
        <v>105.7</v>
      </c>
      <c r="AX165" s="22">
        <v>92.3</v>
      </c>
      <c r="AY165" s="22">
        <v>3</v>
      </c>
      <c r="AZ165" s="24">
        <v>131327</v>
      </c>
      <c r="BA165" s="24">
        <f t="shared" si="61"/>
        <v>5.118354023466007</v>
      </c>
      <c r="BB165" s="24">
        <v>71058</v>
      </c>
      <c r="BC165" s="24">
        <f t="shared" si="62"/>
        <v>4.8516129796634786</v>
      </c>
      <c r="BD165" s="24">
        <v>60269</v>
      </c>
      <c r="BE165" s="22">
        <v>8629</v>
      </c>
      <c r="BF165" s="22">
        <f t="shared" si="75"/>
        <v>1162</v>
      </c>
      <c r="BG165" s="23">
        <v>-0.21217931160412673</v>
      </c>
      <c r="BH165" s="23">
        <v>6.7544402088404967E-2</v>
      </c>
      <c r="BI165" s="23">
        <v>9.2578818358549572E-2</v>
      </c>
      <c r="BJ165" s="23">
        <v>3.0652164637409177E-2</v>
      </c>
      <c r="BK165" s="23">
        <v>-0.27041192266235808</v>
      </c>
      <c r="BL165" s="22">
        <v>10953</v>
      </c>
      <c r="BM165" s="22">
        <v>12360</v>
      </c>
      <c r="BN165" s="22">
        <f t="shared" si="76"/>
        <v>3154.5</v>
      </c>
      <c r="BO165" s="22">
        <v>4.0920184707527971</v>
      </c>
      <c r="BP165" s="22">
        <v>9.4116213726042633E-2</v>
      </c>
      <c r="BQ165" s="22">
        <v>4.8071418368053273E-3</v>
      </c>
      <c r="BR165" s="22">
        <v>3.8379865350050418E-3</v>
      </c>
      <c r="BS165" s="22">
        <v>-10268</v>
      </c>
      <c r="BT165" s="22">
        <v>4.0114858599994054</v>
      </c>
      <c r="BU165" s="22">
        <v>8.0373846406738003E-2</v>
      </c>
      <c r="BV165" s="23">
        <v>13136</v>
      </c>
      <c r="BW165" s="22">
        <v>26431</v>
      </c>
      <c r="BX165" s="22">
        <v>43.194000000000003</v>
      </c>
      <c r="BY165" s="22">
        <v>1.635423423947685</v>
      </c>
      <c r="BZ165" s="25">
        <v>9.130874178878233E-2</v>
      </c>
      <c r="CA165" s="23">
        <v>3.802148779895468E-2</v>
      </c>
      <c r="CB165" s="23">
        <v>3.8021487798954681</v>
      </c>
      <c r="CC165" s="23">
        <v>0.58002910701217281</v>
      </c>
      <c r="CD165" s="23">
        <v>5.0662060808238797E-2</v>
      </c>
      <c r="CE165" s="23">
        <v>3.4239891893164551E-2</v>
      </c>
      <c r="CF165" s="23">
        <v>1.3369343065693431</v>
      </c>
      <c r="CG165" s="23">
        <f t="shared" si="63"/>
        <v>0.29037916196076979</v>
      </c>
      <c r="CH165" s="26">
        <v>21.68</v>
      </c>
      <c r="CI165" s="26">
        <v>40</v>
      </c>
      <c r="CJ165" s="26">
        <v>1.3360592778663494</v>
      </c>
      <c r="CK165" s="26">
        <v>1.6020599913279623</v>
      </c>
      <c r="CL165" s="26">
        <v>-0.45800000000000002</v>
      </c>
      <c r="CM165" s="27">
        <v>32.806781609195411</v>
      </c>
      <c r="CN165" s="27">
        <v>-4.7167732717294325E-2</v>
      </c>
      <c r="CO165" s="27">
        <v>14.6873913</v>
      </c>
      <c r="CP165" s="27">
        <v>4.8895593141903844E-2</v>
      </c>
      <c r="CQ165" s="27">
        <v>128.33115384615388</v>
      </c>
      <c r="CR165" s="27">
        <v>-9.0896458522922177E-2</v>
      </c>
      <c r="CS165" s="27">
        <v>1.3546743295019157</v>
      </c>
      <c r="CT165" s="27">
        <v>1.4151340996168575</v>
      </c>
      <c r="CU165" s="27">
        <v>-4.272370380397951E-2</v>
      </c>
      <c r="CV165" s="27">
        <v>1.5608045977011498</v>
      </c>
      <c r="CW165" s="27">
        <v>2.1933485357004661</v>
      </c>
      <c r="CX165" s="36">
        <v>1.03</v>
      </c>
      <c r="CY165" s="28">
        <v>2.34</v>
      </c>
      <c r="CZ165" s="29">
        <v>33.580881230000003</v>
      </c>
      <c r="DA165" s="27">
        <v>-3.8009543741646867E-3</v>
      </c>
      <c r="DB165" s="27">
        <v>1.4102002336892525</v>
      </c>
      <c r="DC165" s="27">
        <v>3.1430399491928545</v>
      </c>
      <c r="DD165" s="27">
        <v>1</v>
      </c>
      <c r="DE165" s="27">
        <v>2.4</v>
      </c>
      <c r="DF165" s="27">
        <v>98.9</v>
      </c>
      <c r="DG165" s="28">
        <v>4.5941092386286666</v>
      </c>
      <c r="DH165" s="27">
        <v>0.99031999999999998</v>
      </c>
      <c r="DI165" s="27">
        <v>2</v>
      </c>
      <c r="DJ165" s="27">
        <v>3.5</v>
      </c>
      <c r="DK165" s="27">
        <v>2.6</v>
      </c>
      <c r="DL165" s="27">
        <v>2.4369778879479467E-2</v>
      </c>
      <c r="DM165" s="27">
        <v>0.69779999999999998</v>
      </c>
      <c r="DN165" s="28">
        <v>0.68400000000000005</v>
      </c>
      <c r="DO165" s="28">
        <v>-9.8220171390902972E-2</v>
      </c>
      <c r="DP165" s="28">
        <f t="shared" si="77"/>
        <v>-2.487423141419793E-2</v>
      </c>
      <c r="DQ165" s="27">
        <v>0.13560000000000005</v>
      </c>
      <c r="DR165" s="27">
        <v>3.802148779895468E-2</v>
      </c>
      <c r="DS165" s="27">
        <v>3.4239891893164551E-2</v>
      </c>
      <c r="DT165" s="27">
        <v>5.0662060808238797E-2</v>
      </c>
      <c r="DU165" s="30">
        <v>9.2708490000000001</v>
      </c>
      <c r="DV165">
        <v>2.2000000000000002</v>
      </c>
      <c r="DW165">
        <v>2.6</v>
      </c>
      <c r="DX165">
        <v>98.8</v>
      </c>
      <c r="DY165">
        <v>96.9</v>
      </c>
      <c r="DZ165">
        <v>1.3</v>
      </c>
      <c r="EA165">
        <v>2.5</v>
      </c>
      <c r="EB165">
        <v>1.1868369999999999</v>
      </c>
    </row>
    <row r="166" spans="1:132" ht="18">
      <c r="A166" s="14" t="s">
        <v>163</v>
      </c>
      <c r="B166" s="14">
        <v>9</v>
      </c>
      <c r="C166" s="14" t="s">
        <v>150</v>
      </c>
      <c r="D166" s="14" t="s">
        <v>159</v>
      </c>
      <c r="E166" s="14" t="s">
        <v>145</v>
      </c>
      <c r="F166" s="15">
        <v>8670</v>
      </c>
      <c r="G166" s="15">
        <v>3.9380190974762104</v>
      </c>
      <c r="J166" s="16"/>
      <c r="K166" s="16"/>
      <c r="L166" s="17">
        <v>6.0326472675656495E-2</v>
      </c>
      <c r="M166" s="18">
        <v>130</v>
      </c>
      <c r="N166" s="18">
        <v>116</v>
      </c>
      <c r="O166" s="18">
        <v>0.92474435046080039</v>
      </c>
      <c r="P166" s="18">
        <v>3</v>
      </c>
      <c r="Q166" s="18">
        <f t="shared" si="74"/>
        <v>2.3333333333333335</v>
      </c>
      <c r="R166" s="18">
        <v>130</v>
      </c>
      <c r="S166" s="18">
        <v>5</v>
      </c>
      <c r="T166" s="19">
        <v>49813</v>
      </c>
      <c r="U166" s="19">
        <v>4.6973426980104742</v>
      </c>
      <c r="V166" s="20">
        <v>32499.25</v>
      </c>
      <c r="W166" s="20">
        <v>4.5118733386828804</v>
      </c>
      <c r="X166" s="20">
        <v>0.35</v>
      </c>
      <c r="Y166" s="20">
        <v>0.68370042679999998</v>
      </c>
      <c r="Z166" s="20">
        <f t="shared" si="60"/>
        <v>-0.16513414899154161</v>
      </c>
      <c r="AA166" s="20">
        <v>0.77318257239999999</v>
      </c>
      <c r="AB166" s="20">
        <v>12582</v>
      </c>
      <c r="AC166" s="20">
        <v>43737</v>
      </c>
      <c r="AD166" s="21">
        <v>7496</v>
      </c>
      <c r="AE166" s="21">
        <f t="shared" si="69"/>
        <v>5.2157697713577977E-2</v>
      </c>
      <c r="AF166" s="21">
        <f t="shared" si="70"/>
        <v>3.8748295778797219</v>
      </c>
      <c r="AG166" s="22">
        <v>4.9750205263084648E-3</v>
      </c>
      <c r="AH166" s="22">
        <v>715</v>
      </c>
      <c r="AI166" s="22">
        <v>1.5426887810000001</v>
      </c>
      <c r="AJ166" s="22">
        <v>92855</v>
      </c>
      <c r="AK166" s="23">
        <f t="shared" si="68"/>
        <v>4.9678052943326048</v>
      </c>
      <c r="AL166" s="24">
        <v>0.31276017299999997</v>
      </c>
      <c r="AM166" s="22">
        <f>41999+40251</f>
        <v>82250</v>
      </c>
      <c r="AN166" s="22">
        <f t="shared" si="64"/>
        <v>0.57230131229212766</v>
      </c>
      <c r="AO166" s="23">
        <v>6.7853756851615821E-2</v>
      </c>
      <c r="AP166" s="33">
        <v>5.6655500000000005E-4</v>
      </c>
      <c r="AQ166" s="23">
        <v>-1.2467579233344663</v>
      </c>
      <c r="AR166" s="22">
        <v>143718</v>
      </c>
      <c r="AS166" s="23">
        <v>5.1575111648712744</v>
      </c>
      <c r="AT166" s="23">
        <v>5.106371107383251</v>
      </c>
      <c r="AU166" s="22">
        <v>1.008</v>
      </c>
      <c r="AV166" s="22">
        <v>0.50379051210000003</v>
      </c>
      <c r="AW166" s="22">
        <v>93.2</v>
      </c>
      <c r="AX166" s="22">
        <v>105.7</v>
      </c>
      <c r="AY166" s="22">
        <v>2</v>
      </c>
      <c r="AZ166" s="24">
        <v>159269</v>
      </c>
      <c r="BA166" s="24">
        <f t="shared" si="61"/>
        <v>5.2021312532708066</v>
      </c>
      <c r="BB166" s="24">
        <v>93171</v>
      </c>
      <c r="BC166" s="24">
        <f t="shared" si="62"/>
        <v>4.969280756776377</v>
      </c>
      <c r="BD166" s="24">
        <v>66098</v>
      </c>
      <c r="BE166" s="22">
        <v>10807</v>
      </c>
      <c r="BF166" s="22">
        <f t="shared" si="75"/>
        <v>1089</v>
      </c>
      <c r="BG166" s="23">
        <v>0.25240468188666126</v>
      </c>
      <c r="BH166" s="23">
        <v>7.519586968925257E-2</v>
      </c>
      <c r="BI166" s="23">
        <v>6.7544402088404967E-2</v>
      </c>
      <c r="BJ166" s="23">
        <v>3.0652164637409177E-2</v>
      </c>
      <c r="BK166" s="23">
        <v>0.11328055862916721</v>
      </c>
      <c r="BL166" s="22">
        <v>8629</v>
      </c>
      <c r="BM166" s="22">
        <v>18493</v>
      </c>
      <c r="BN166" s="22">
        <f t="shared" si="76"/>
        <v>3066.5</v>
      </c>
      <c r="BO166" s="22">
        <v>4.2670073696643547</v>
      </c>
      <c r="BP166" s="22">
        <v>0.11611173549152691</v>
      </c>
      <c r="BQ166" s="22">
        <v>1.0997760882742118E-2</v>
      </c>
      <c r="BR166" s="22">
        <v>4.8071418368053273E-3</v>
      </c>
      <c r="BS166" s="22">
        <v>-11957</v>
      </c>
      <c r="BT166" s="22">
        <v>4.0776222292445192</v>
      </c>
      <c r="BU166" s="22">
        <v>8.3197650955343108E-2</v>
      </c>
      <c r="BV166" s="23">
        <v>15305</v>
      </c>
      <c r="BW166" s="22">
        <v>30436</v>
      </c>
      <c r="BX166" s="22">
        <v>39.164000000000001</v>
      </c>
      <c r="BY166" s="22">
        <v>1.5928870418954413</v>
      </c>
      <c r="BZ166" s="25">
        <v>-9.3299995369727301E-2</v>
      </c>
      <c r="CA166" s="23">
        <v>3.4239891893164551E-2</v>
      </c>
      <c r="CB166" s="23">
        <v>3.4239891893164551</v>
      </c>
      <c r="CC166" s="23">
        <v>0.53453238479377774</v>
      </c>
      <c r="CD166" s="23">
        <v>3.802148779895468E-2</v>
      </c>
      <c r="CE166" s="23">
        <v>2.4180879115385762E-2</v>
      </c>
      <c r="CF166" s="23">
        <v>1.310712282669658</v>
      </c>
      <c r="CG166" s="23">
        <f t="shared" si="63"/>
        <v>0.27057071667571764</v>
      </c>
      <c r="CH166" s="26">
        <v>17.75</v>
      </c>
      <c r="CI166" s="26">
        <v>21.68</v>
      </c>
      <c r="CJ166" s="26">
        <v>1.249198357391113</v>
      </c>
      <c r="CK166" s="26">
        <v>1.3360592778663494</v>
      </c>
      <c r="CL166" s="26">
        <v>-0.18127306273062729</v>
      </c>
      <c r="CM166" s="27">
        <v>23.674061302682002</v>
      </c>
      <c r="CN166" s="27">
        <v>-0.27837903806917774</v>
      </c>
      <c r="CO166" s="27">
        <v>13.17284585</v>
      </c>
      <c r="CP166" s="27">
        <v>-0.10311875125162628</v>
      </c>
      <c r="CQ166" s="27">
        <v>93.814615384615436</v>
      </c>
      <c r="CR166" s="27">
        <v>-0.26896460779054171</v>
      </c>
      <c r="CS166" s="27">
        <v>1.0575095785440605</v>
      </c>
      <c r="CT166" s="27">
        <v>1.3546743295019157</v>
      </c>
      <c r="CU166" s="27">
        <v>-0.21936250247475808</v>
      </c>
      <c r="CV166" s="27">
        <v>1.2699233716475098</v>
      </c>
      <c r="CW166" s="27">
        <v>2.1037775160152683</v>
      </c>
      <c r="CX166" s="36">
        <v>0.92</v>
      </c>
      <c r="CY166" s="28">
        <v>1.03</v>
      </c>
      <c r="CZ166" s="29">
        <v>26.404674329999999</v>
      </c>
      <c r="DA166" s="27">
        <v>-0.21369918349816944</v>
      </c>
      <c r="DB166" s="27">
        <v>3.3676575479931978</v>
      </c>
      <c r="DC166" s="27">
        <v>1.4102002336892525</v>
      </c>
      <c r="DD166" s="27">
        <v>1</v>
      </c>
      <c r="DE166" s="27">
        <v>2.2999999999999998</v>
      </c>
      <c r="DF166" s="27">
        <v>100</v>
      </c>
      <c r="DG166" s="28">
        <v>4.6051701859880918</v>
      </c>
      <c r="DH166" s="27">
        <v>1</v>
      </c>
      <c r="DI166" s="27">
        <v>1.8</v>
      </c>
      <c r="DJ166" s="27">
        <v>2</v>
      </c>
      <c r="DK166" s="27">
        <v>2.5</v>
      </c>
      <c r="DL166" s="27">
        <v>2.4833477735949187E-2</v>
      </c>
      <c r="DM166" s="27">
        <v>0.74709999999999999</v>
      </c>
      <c r="DN166" s="28">
        <v>0.71719999999999995</v>
      </c>
      <c r="DO166" s="28">
        <v>4.8538011695906276E-2</v>
      </c>
      <c r="DP166" s="28">
        <f t="shared" si="77"/>
        <v>7.0650616222413323E-2</v>
      </c>
      <c r="DQ166" s="27">
        <v>0.14990000000000003</v>
      </c>
      <c r="DR166" s="27">
        <v>3.4239891893164551E-2</v>
      </c>
      <c r="DS166" s="27">
        <v>2.4180879115385762E-2</v>
      </c>
      <c r="DT166" s="27">
        <v>3.802148779895468E-2</v>
      </c>
      <c r="DU166" s="30">
        <v>9.6228090000000002</v>
      </c>
      <c r="DV166">
        <v>2.7</v>
      </c>
      <c r="DW166">
        <v>2.9</v>
      </c>
      <c r="DX166">
        <v>100</v>
      </c>
      <c r="DY166">
        <v>100</v>
      </c>
      <c r="DZ166">
        <v>0.2</v>
      </c>
      <c r="EA166">
        <v>2</v>
      </c>
      <c r="EB166">
        <v>1.2855829999999999</v>
      </c>
    </row>
    <row r="167" spans="1:132" ht="18">
      <c r="A167" s="14" t="s">
        <v>163</v>
      </c>
      <c r="B167" s="14">
        <v>10</v>
      </c>
      <c r="C167" s="14" t="s">
        <v>150</v>
      </c>
      <c r="D167" s="14" t="s">
        <v>159</v>
      </c>
      <c r="E167" s="14" t="s">
        <v>145</v>
      </c>
      <c r="F167" s="15">
        <v>12318</v>
      </c>
      <c r="G167" s="15">
        <v>4.0905401997542352</v>
      </c>
      <c r="J167" s="16"/>
      <c r="K167" s="16"/>
      <c r="L167" s="17">
        <v>7.5087321471023899E-2</v>
      </c>
      <c r="M167" s="18">
        <v>130</v>
      </c>
      <c r="N167" s="18">
        <v>116</v>
      </c>
      <c r="O167" s="18">
        <v>0.92474435046080039</v>
      </c>
      <c r="P167" s="18">
        <v>3</v>
      </c>
      <c r="Q167" s="18">
        <f t="shared" si="74"/>
        <v>2.3333333333333335</v>
      </c>
      <c r="R167" s="18">
        <v>130</v>
      </c>
      <c r="S167" s="18">
        <v>5</v>
      </c>
      <c r="T167" s="19">
        <v>60614</v>
      </c>
      <c r="U167" s="19">
        <v>4.782572944637085</v>
      </c>
      <c r="V167" s="20">
        <v>38633.807999999997</v>
      </c>
      <c r="W167" s="20">
        <v>4.5869675171502582</v>
      </c>
      <c r="X167" s="20">
        <v>0.40199999999999997</v>
      </c>
      <c r="Y167" s="20">
        <v>0.72404058800000004</v>
      </c>
      <c r="Z167" s="20">
        <f t="shared" si="60"/>
        <v>-0.14023708760070627</v>
      </c>
      <c r="AA167" s="20">
        <v>0.78273094009999999</v>
      </c>
      <c r="AB167" s="20">
        <v>19209</v>
      </c>
      <c r="AC167" s="20">
        <v>55657</v>
      </c>
      <c r="AD167" s="21">
        <v>10999</v>
      </c>
      <c r="AE167" s="21">
        <f t="shared" si="69"/>
        <v>6.7047040823168688E-2</v>
      </c>
      <c r="AF167" s="21">
        <f t="shared" si="70"/>
        <v>4.0413532020469747</v>
      </c>
      <c r="AG167" s="22">
        <v>4.7302939975251293E-3</v>
      </c>
      <c r="AH167" s="22">
        <v>776</v>
      </c>
      <c r="AI167" s="22">
        <v>1.372782457</v>
      </c>
      <c r="AJ167" s="22">
        <v>96104</v>
      </c>
      <c r="AK167" s="23">
        <f t="shared" si="68"/>
        <v>4.9827414640657883</v>
      </c>
      <c r="AL167" s="24">
        <v>0.328187858</v>
      </c>
      <c r="AM167" s="22">
        <f>46702+47958</f>
        <v>94660</v>
      </c>
      <c r="AN167" s="22">
        <f t="shared" si="64"/>
        <v>0.57702271882181544</v>
      </c>
      <c r="AO167" s="23">
        <v>6.8118445203662295E-2</v>
      </c>
      <c r="AP167" s="33">
        <v>2.2544279E-2</v>
      </c>
      <c r="AQ167" s="23">
        <v>0.35303635047299414</v>
      </c>
      <c r="AR167" s="22">
        <v>164049</v>
      </c>
      <c r="AS167" s="23">
        <v>5.2149735873840255</v>
      </c>
      <c r="AT167" s="23">
        <v>5.1575111648712744</v>
      </c>
      <c r="AU167" s="22">
        <v>1.016</v>
      </c>
      <c r="AV167" s="22">
        <v>0.47374222849999997</v>
      </c>
      <c r="AW167" s="22">
        <v>93.4</v>
      </c>
      <c r="AX167" s="22">
        <v>93.2</v>
      </c>
      <c r="AY167" s="22">
        <v>2</v>
      </c>
      <c r="AZ167" s="24">
        <v>184693</v>
      </c>
      <c r="BA167" s="24">
        <f t="shared" si="61"/>
        <v>5.2664504356731445</v>
      </c>
      <c r="BB167" s="24">
        <v>113892</v>
      </c>
      <c r="BC167" s="24">
        <f t="shared" si="62"/>
        <v>5.0564932194445511</v>
      </c>
      <c r="BD167" s="24">
        <v>70801</v>
      </c>
      <c r="BE167" s="22">
        <v>12581</v>
      </c>
      <c r="BF167" s="22">
        <f t="shared" si="75"/>
        <v>887</v>
      </c>
      <c r="BG167" s="23">
        <v>0.1641528638845193</v>
      </c>
      <c r="BH167" s="23">
        <v>7.6690501008844919E-2</v>
      </c>
      <c r="BI167" s="23">
        <v>7.519586968925257E-2</v>
      </c>
      <c r="BJ167" s="23">
        <v>3.0652164637409177E-2</v>
      </c>
      <c r="BK167" s="23">
        <v>1.9876508188134835E-2</v>
      </c>
      <c r="BL167" s="22">
        <v>10807</v>
      </c>
      <c r="BM167" s="22">
        <v>19536</v>
      </c>
      <c r="BN167" s="22">
        <f t="shared" si="76"/>
        <v>521.5</v>
      </c>
      <c r="BO167" s="22">
        <v>4.2908356466008071</v>
      </c>
      <c r="BP167" s="22">
        <v>0.10577553020417665</v>
      </c>
      <c r="BQ167" s="22">
        <v>5.1681026436751279E-3</v>
      </c>
      <c r="BR167" s="22">
        <v>1.0997760882742118E-2</v>
      </c>
      <c r="BS167" s="22">
        <v>-15963</v>
      </c>
      <c r="BT167" s="22">
        <v>4.203114513644385</v>
      </c>
      <c r="BU167" s="22">
        <v>9.7306292632079433E-2</v>
      </c>
      <c r="BV167" s="23">
        <v>20272</v>
      </c>
      <c r="BW167" s="22">
        <v>32232</v>
      </c>
      <c r="BX167" s="22">
        <v>39.65</v>
      </c>
      <c r="BY167" s="22">
        <v>1.5982431916536226</v>
      </c>
      <c r="BZ167" s="25">
        <v>1.2409355530589243E-2</v>
      </c>
      <c r="CA167" s="23">
        <v>2.4180879115385762E-2</v>
      </c>
      <c r="CB167" s="23">
        <v>2.4180879115385761</v>
      </c>
      <c r="CC167" s="23">
        <v>0.38347208593834597</v>
      </c>
      <c r="CD167" s="23">
        <v>3.4239891893164551E-2</v>
      </c>
      <c r="CE167" s="23">
        <v>2.0079372103467861E-2</v>
      </c>
      <c r="CF167" s="23">
        <v>1.5153061224489797</v>
      </c>
      <c r="CG167" s="23">
        <f t="shared" si="63"/>
        <v>0.41561747957218242</v>
      </c>
      <c r="CH167" s="26">
        <v>23.4</v>
      </c>
      <c r="CI167" s="26">
        <v>17.75</v>
      </c>
      <c r="CJ167" s="26">
        <v>1.3692158574101427</v>
      </c>
      <c r="CK167" s="26">
        <v>1.249198357391113</v>
      </c>
      <c r="CL167" s="26">
        <v>0.31830985915492949</v>
      </c>
      <c r="CM167" s="27">
        <v>25.275999999999993</v>
      </c>
      <c r="CN167" s="27">
        <v>6.7666408261623831E-2</v>
      </c>
      <c r="CO167" s="27">
        <v>14.39393443</v>
      </c>
      <c r="CP167" s="27">
        <v>9.2697401450272041E-2</v>
      </c>
      <c r="CQ167" s="27">
        <v>94.493822393822356</v>
      </c>
      <c r="CR167" s="27">
        <v>7.2398848134946573E-3</v>
      </c>
      <c r="CS167" s="27">
        <v>1.0720384615384604</v>
      </c>
      <c r="CT167" s="27">
        <v>1.0575095785440605</v>
      </c>
      <c r="CU167" s="27">
        <v>1.37387720065881E-2</v>
      </c>
      <c r="CV167" s="27">
        <v>1.268846153846154</v>
      </c>
      <c r="CW167" s="27">
        <v>2.1034089675745258</v>
      </c>
      <c r="CX167" s="36">
        <v>0.92</v>
      </c>
      <c r="CY167" s="28">
        <v>0.92</v>
      </c>
      <c r="CZ167" s="29">
        <v>29.99596154</v>
      </c>
      <c r="DA167" s="27">
        <v>0.13600952487112158</v>
      </c>
      <c r="DB167" s="27">
        <v>1.9709466682529033</v>
      </c>
      <c r="DC167" s="27">
        <v>3.3676575479931978</v>
      </c>
      <c r="DD167" s="27">
        <v>1</v>
      </c>
      <c r="DE167" s="27">
        <v>1.9</v>
      </c>
      <c r="DF167" s="27">
        <v>100.9</v>
      </c>
      <c r="DG167" s="28">
        <v>4.6141299273595635</v>
      </c>
      <c r="DH167" s="27">
        <v>1.01092</v>
      </c>
      <c r="DI167" s="27">
        <v>1.7</v>
      </c>
      <c r="DJ167" s="27">
        <v>2.4</v>
      </c>
      <c r="DK167" s="27">
        <v>2.7</v>
      </c>
      <c r="DL167" s="27">
        <v>1.6688062333233E-2</v>
      </c>
      <c r="DM167" s="27">
        <v>0.77139999999999997</v>
      </c>
      <c r="DN167" s="28">
        <v>0.69699999999999995</v>
      </c>
      <c r="DO167" s="28">
        <v>-2.8165086447295033E-2</v>
      </c>
      <c r="DP167" s="28">
        <f>(DM167-DM166)/DM166</f>
        <v>3.2525766296345855E-2</v>
      </c>
      <c r="DQ167" s="27">
        <v>0.10270000000000001</v>
      </c>
      <c r="DR167" s="27">
        <v>2.4180879115385762E-2</v>
      </c>
      <c r="DS167" s="27">
        <v>2.0079372103467861E-2</v>
      </c>
      <c r="DT167" s="27">
        <v>3.4239891893164551E-2</v>
      </c>
      <c r="DU167" s="30">
        <v>8.9420310000000001</v>
      </c>
      <c r="DV167">
        <v>2.2000000000000002</v>
      </c>
      <c r="DW167">
        <v>2.4</v>
      </c>
      <c r="DX167">
        <v>102.1</v>
      </c>
      <c r="DY167">
        <v>102.1</v>
      </c>
      <c r="DZ167">
        <v>0.9</v>
      </c>
      <c r="EA167">
        <v>0.7</v>
      </c>
      <c r="EB167">
        <v>1.494866</v>
      </c>
    </row>
    <row r="168" spans="1:132" ht="18">
      <c r="A168" s="14" t="s">
        <v>163</v>
      </c>
      <c r="B168" s="14">
        <v>11</v>
      </c>
      <c r="C168" s="14" t="s">
        <v>150</v>
      </c>
      <c r="D168" s="14" t="s">
        <v>159</v>
      </c>
      <c r="E168" s="14" t="s">
        <v>145</v>
      </c>
      <c r="F168" s="15">
        <v>16960</v>
      </c>
      <c r="G168" s="15">
        <v>4.2294258479206954</v>
      </c>
      <c r="J168" s="16"/>
      <c r="K168" s="16"/>
      <c r="L168" s="17">
        <v>7.5082121069920224E-2</v>
      </c>
      <c r="M168" s="18">
        <v>130</v>
      </c>
      <c r="N168" s="18">
        <v>116</v>
      </c>
      <c r="O168" s="18">
        <v>0.92474435046080039</v>
      </c>
      <c r="P168" s="18">
        <v>3</v>
      </c>
      <c r="Q168" s="18">
        <f t="shared" si="74"/>
        <v>2.3333333333333335</v>
      </c>
      <c r="R168" s="18">
        <v>130</v>
      </c>
      <c r="S168" s="18">
        <v>5</v>
      </c>
      <c r="T168" s="19">
        <v>64521</v>
      </c>
      <c r="U168" s="19">
        <v>4.8097010898253609</v>
      </c>
      <c r="V168" s="20">
        <v>39336.03</v>
      </c>
      <c r="W168" s="20">
        <v>4.5947905265010771</v>
      </c>
      <c r="X168" s="20">
        <v>0.40499999999999997</v>
      </c>
      <c r="Y168" s="20">
        <v>0.72920063270000002</v>
      </c>
      <c r="Z168" s="20">
        <f t="shared" si="60"/>
        <v>-0.1371529631958881</v>
      </c>
      <c r="AA168" s="20">
        <v>0.73870025719999999</v>
      </c>
      <c r="AB168" s="20">
        <v>12821.162</v>
      </c>
      <c r="AC168" s="20">
        <v>45339.3145</v>
      </c>
      <c r="AD168" s="21">
        <v>14980.213</v>
      </c>
      <c r="AE168" s="21">
        <f t="shared" si="69"/>
        <v>8.7663688763358505E-2</v>
      </c>
      <c r="AF168" s="21">
        <f t="shared" si="70"/>
        <v>4.1755179885348088</v>
      </c>
      <c r="AG168" s="22">
        <v>4.5775302586260327E-3</v>
      </c>
      <c r="AH168" s="22"/>
      <c r="AI168" s="22">
        <v>0.98223882340000002</v>
      </c>
      <c r="AJ168" s="22">
        <v>97126</v>
      </c>
      <c r="AK168" s="23">
        <f t="shared" si="68"/>
        <v>4.9873355032864088</v>
      </c>
      <c r="AL168" s="24">
        <v>0.25101833600000001</v>
      </c>
      <c r="AM168" s="22">
        <f>65622+64606</f>
        <v>130228</v>
      </c>
      <c r="AN168" s="22">
        <v>0.57652089992296995</v>
      </c>
      <c r="AO168" s="23">
        <v>5.382882620011905E-2</v>
      </c>
      <c r="AP168" s="33">
        <v>1.6723691999999998E-2</v>
      </c>
      <c r="AQ168" s="23">
        <v>0.22333216055667346</v>
      </c>
      <c r="AR168" s="22">
        <v>170882.75899999999</v>
      </c>
      <c r="AS168" s="23">
        <v>5.3538893149789724</v>
      </c>
      <c r="AT168" s="23">
        <v>5.2149735873840255</v>
      </c>
      <c r="AU168" s="22">
        <v>0.97699999999999998</v>
      </c>
      <c r="AV168" s="22">
        <v>0.3534017814</v>
      </c>
      <c r="AW168" s="22">
        <v>92.3</v>
      </c>
      <c r="AX168" s="22">
        <v>93.4</v>
      </c>
      <c r="AY168" s="22">
        <v>2</v>
      </c>
      <c r="AZ168" s="24">
        <v>257037</v>
      </c>
      <c r="BA168" s="24">
        <f t="shared" si="61"/>
        <v>5.4099956437174077</v>
      </c>
      <c r="BB168" s="24">
        <v>162908</v>
      </c>
      <c r="BC168" s="24">
        <f t="shared" si="62"/>
        <v>5.2119424119361666</v>
      </c>
      <c r="BD168" s="24">
        <v>94129</v>
      </c>
      <c r="BE168" s="22">
        <v>13836</v>
      </c>
      <c r="BF168" s="22">
        <f t="shared" si="75"/>
        <v>627.5</v>
      </c>
      <c r="BG168" s="23">
        <v>9.9753596693426594E-2</v>
      </c>
      <c r="BH168" s="23">
        <v>6.12521360332203E-2</v>
      </c>
      <c r="BI168" s="23">
        <v>7.6690501008844919E-2</v>
      </c>
      <c r="BJ168" s="23">
        <v>3.0652164637409177E-2</v>
      </c>
      <c r="BK168" s="23">
        <v>-0.20130739495161298</v>
      </c>
      <c r="BL168" s="22">
        <v>12581</v>
      </c>
      <c r="BM168" s="22">
        <v>21831.077000000001</v>
      </c>
      <c r="BN168" s="22">
        <f t="shared" si="76"/>
        <v>1147.5385000000006</v>
      </c>
      <c r="BO168" s="22">
        <v>4.3390751614360905</v>
      </c>
      <c r="BP168" s="22">
        <v>8.4933597108587486E-2</v>
      </c>
      <c r="BQ168" s="22">
        <v>1.0420966547794638E-2</v>
      </c>
      <c r="BR168" s="22">
        <v>5.1681026436751279E-3</v>
      </c>
      <c r="BS168" s="22">
        <v>-16629.383000000002</v>
      </c>
      <c r="BT168" s="22">
        <v>4.2208761358902152</v>
      </c>
      <c r="BU168" s="22">
        <v>7.3618475691277913E-2</v>
      </c>
      <c r="BV168" s="23">
        <v>20273.443500000001</v>
      </c>
      <c r="BW168" s="22">
        <v>33208.811999999998</v>
      </c>
      <c r="BX168" s="22">
        <v>39.5</v>
      </c>
      <c r="BY168" s="22">
        <v>1.5965970956264601</v>
      </c>
      <c r="BZ168" s="25">
        <v>-3.7831021437578459E-3</v>
      </c>
      <c r="CA168" s="23">
        <v>2.0079372103467861E-2</v>
      </c>
      <c r="CB168" s="23">
        <v>2.0079372103467863</v>
      </c>
      <c r="CC168" s="23">
        <v>0.30275012798181106</v>
      </c>
      <c r="CD168" s="23">
        <v>2.4180879115385762E-2</v>
      </c>
      <c r="CE168" s="23">
        <v>1.50675227484701E-2</v>
      </c>
      <c r="CF168" s="23">
        <v>1.2857570317175344</v>
      </c>
      <c r="CG168" s="23">
        <f t="shared" si="63"/>
        <v>0.25134767461965607</v>
      </c>
      <c r="CH168" s="26">
        <v>18.02</v>
      </c>
      <c r="CI168" s="26">
        <v>23.4</v>
      </c>
      <c r="CJ168" s="26">
        <v>1.2557547866430441</v>
      </c>
      <c r="CK168" s="26">
        <v>1.3692158574101427</v>
      </c>
      <c r="CL168" s="26">
        <v>-0.22991452991452987</v>
      </c>
      <c r="CM168" s="27">
        <v>18.608429118773955</v>
      </c>
      <c r="CN168" s="27">
        <v>-0.26379058716672099</v>
      </c>
      <c r="CO168" s="27">
        <v>10.24478261</v>
      </c>
      <c r="CP168" s="27">
        <v>-0.288256962693417</v>
      </c>
      <c r="CQ168" s="27">
        <v>71.254230769230816</v>
      </c>
      <c r="CR168" s="27">
        <v>-0.24593768180670883</v>
      </c>
      <c r="CS168" s="27">
        <v>0.83494252873563157</v>
      </c>
      <c r="CT168" s="27">
        <v>1.0720384615384604</v>
      </c>
      <c r="CU168" s="27">
        <v>-0.22116364413136569</v>
      </c>
      <c r="CV168" s="27">
        <v>0.95088122605364045</v>
      </c>
      <c r="CW168" s="27">
        <v>1.9781262728880398</v>
      </c>
      <c r="CX168" s="36">
        <v>0.54</v>
      </c>
      <c r="CY168" s="28">
        <v>0.92</v>
      </c>
      <c r="CZ168" s="29">
        <v>24.56237548</v>
      </c>
      <c r="DA168" s="27">
        <v>-0.18114392008251654</v>
      </c>
      <c r="DB168" s="27">
        <v>1.7682050254071211</v>
      </c>
      <c r="DC168" s="27">
        <v>1.9709466682529033</v>
      </c>
      <c r="DD168" s="27">
        <v>1</v>
      </c>
      <c r="DE168" s="27">
        <v>2</v>
      </c>
      <c r="DF168" s="27">
        <v>102.2</v>
      </c>
      <c r="DG168" s="28">
        <v>4.6269316777696039</v>
      </c>
      <c r="DH168" s="27">
        <v>1.0259199999999999</v>
      </c>
      <c r="DI168" s="27">
        <v>1.6</v>
      </c>
      <c r="DJ168" s="27">
        <v>1.3</v>
      </c>
      <c r="DK168" s="27">
        <v>1.9</v>
      </c>
      <c r="DL168" s="27">
        <v>1.6829215601661535E-2</v>
      </c>
      <c r="DM168" s="27">
        <v>0.75800000000000001</v>
      </c>
      <c r="DN168" s="28">
        <v>0.74839999999999995</v>
      </c>
      <c r="DO168" s="28">
        <v>7.3744619799139169E-2</v>
      </c>
      <c r="DP168" s="28">
        <f t="shared" si="77"/>
        <v>-1.7371013741249636E-2</v>
      </c>
      <c r="DQ168" s="27">
        <v>8.4699999999999998E-2</v>
      </c>
      <c r="DR168" s="27">
        <v>2.0079372103467861E-2</v>
      </c>
      <c r="DS168" s="27">
        <v>1.50675227484701E-2</v>
      </c>
      <c r="DT168" s="27">
        <v>2.4180879115385762E-2</v>
      </c>
      <c r="DU168" s="30">
        <v>8.0652849999999994</v>
      </c>
      <c r="DV168">
        <v>0.9</v>
      </c>
      <c r="DW168">
        <v>1.4</v>
      </c>
      <c r="DX168">
        <v>103.9</v>
      </c>
      <c r="DY168">
        <v>103.8</v>
      </c>
      <c r="DZ168">
        <v>0.1</v>
      </c>
      <c r="EA168">
        <v>0</v>
      </c>
      <c r="EB168">
        <v>1.826854</v>
      </c>
    </row>
    <row r="169" spans="1:132" ht="18">
      <c r="A169" s="14" t="s">
        <v>163</v>
      </c>
      <c r="B169" s="14">
        <v>12</v>
      </c>
      <c r="C169" s="14" t="s">
        <v>150</v>
      </c>
      <c r="D169" s="14" t="s">
        <v>159</v>
      </c>
      <c r="E169" s="14" t="s">
        <v>145</v>
      </c>
      <c r="F169" s="15">
        <v>9220</v>
      </c>
      <c r="G169" s="15">
        <v>3.9647309210536292</v>
      </c>
      <c r="J169" s="16"/>
      <c r="K169" s="16"/>
      <c r="L169" s="17">
        <v>3.8541444593538247E-2</v>
      </c>
      <c r="M169" s="18">
        <v>130</v>
      </c>
      <c r="N169" s="18">
        <v>116</v>
      </c>
      <c r="O169" s="18">
        <v>0.92474435046080039</v>
      </c>
      <c r="P169" s="18">
        <v>3</v>
      </c>
      <c r="Q169" s="18">
        <f t="shared" si="74"/>
        <v>2.3333333333333335</v>
      </c>
      <c r="R169" s="18">
        <v>130</v>
      </c>
      <c r="S169" s="18">
        <v>5</v>
      </c>
      <c r="T169" s="19">
        <v>65414</v>
      </c>
      <c r="U169" s="19">
        <v>4.8156707066126749</v>
      </c>
      <c r="V169" s="20">
        <v>42483.57</v>
      </c>
      <c r="W169" s="20">
        <v>4.6282210044518326</v>
      </c>
      <c r="X169" s="20">
        <v>0.43</v>
      </c>
      <c r="Y169" s="20">
        <v>0.73069379450000005</v>
      </c>
      <c r="Z169" s="20">
        <f t="shared" si="60"/>
        <v>-0.13626458093431107</v>
      </c>
      <c r="AA169" s="20">
        <v>0.7658795853</v>
      </c>
      <c r="AB169" s="20">
        <v>19242.188999999998</v>
      </c>
      <c r="AC169" s="20">
        <v>65515.3848</v>
      </c>
      <c r="AD169" s="21">
        <v>20629.348699999999</v>
      </c>
      <c r="AE169" s="21">
        <f t="shared" si="69"/>
        <v>0.11873166014560925</v>
      </c>
      <c r="AF169" s="21">
        <f t="shared" si="70"/>
        <v>4.3144855168504606</v>
      </c>
      <c r="AG169" s="22">
        <v>5.2670520811126022E-3</v>
      </c>
      <c r="AH169" s="22"/>
      <c r="AI169" s="22">
        <v>1.056453946</v>
      </c>
      <c r="AJ169" s="22">
        <v>98799</v>
      </c>
      <c r="AK169" s="23">
        <f t="shared" si="68"/>
        <v>4.9947525488722455</v>
      </c>
      <c r="AL169" s="24">
        <v>0.25986294599999998</v>
      </c>
      <c r="AM169" s="22">
        <f>74176+61668</f>
        <v>135844</v>
      </c>
      <c r="AN169" s="22">
        <v>0.56785509754496855</v>
      </c>
      <c r="AO169" s="23">
        <v>4.5768199423974573E-2</v>
      </c>
      <c r="AP169" s="33">
        <v>7.2558978999999996E-2</v>
      </c>
      <c r="AQ169" s="23">
        <v>0.86069116300207027</v>
      </c>
      <c r="AR169" s="22">
        <v>173747.66489999997</v>
      </c>
      <c r="AS169" s="23">
        <v>5.3788029323936524</v>
      </c>
      <c r="AT169" s="23">
        <v>5.3538893149789724</v>
      </c>
      <c r="AU169" s="22">
        <v>0.91600000000000004</v>
      </c>
      <c r="AV169" s="22">
        <v>0.33160654919999999</v>
      </c>
      <c r="AW169" s="22">
        <v>105.9</v>
      </c>
      <c r="AX169" s="22">
        <v>92.3</v>
      </c>
      <c r="AY169" s="22">
        <v>3</v>
      </c>
      <c r="AZ169" s="24">
        <v>251725</v>
      </c>
      <c r="BA169" s="24">
        <f t="shared" si="61"/>
        <v>5.4009263495288229</v>
      </c>
      <c r="BB169" s="24">
        <v>160849</v>
      </c>
      <c r="BC169" s="24">
        <f t="shared" si="62"/>
        <v>5.2064183652328166</v>
      </c>
      <c r="BD169" s="24">
        <v>90876</v>
      </c>
      <c r="BE169" s="22">
        <v>11521</v>
      </c>
      <c r="BF169" s="22">
        <f t="shared" si="75"/>
        <v>1157.5</v>
      </c>
      <c r="BG169" s="23">
        <v>-0.16731714368314543</v>
      </c>
      <c r="BH169" s="23">
        <v>4.8160084941665307E-2</v>
      </c>
      <c r="BI169" s="23">
        <v>6.12521360332203E-2</v>
      </c>
      <c r="BJ169" s="23">
        <v>3.0652164637409177E-2</v>
      </c>
      <c r="BK169" s="23">
        <v>-0.2137403189409505</v>
      </c>
      <c r="BL169" s="22">
        <v>13836</v>
      </c>
      <c r="BM169" s="22">
        <v>20805.936099999999</v>
      </c>
      <c r="BN169" s="22">
        <f t="shared" si="76"/>
        <v>512.57045000000107</v>
      </c>
      <c r="BO169" s="22">
        <v>4.3181872603317437</v>
      </c>
      <c r="BP169" s="22">
        <v>8.2653435693713376E-2</v>
      </c>
      <c r="BQ169" s="22">
        <v>1.140080707437055E-3</v>
      </c>
      <c r="BR169" s="22">
        <v>1.0420966547794638E-2</v>
      </c>
      <c r="BS169" s="22">
        <v>-20454.950400000002</v>
      </c>
      <c r="BT169" s="22">
        <v>4.3107984307406539</v>
      </c>
      <c r="BU169" s="22">
        <v>8.5505784978869098E-2</v>
      </c>
      <c r="BV169" s="23">
        <v>21564.824100000002</v>
      </c>
      <c r="BW169" s="22">
        <v>33240.572099999998</v>
      </c>
      <c r="BX169" s="22">
        <v>44.53</v>
      </c>
      <c r="BY169" s="22">
        <v>1.648652695131223</v>
      </c>
      <c r="BZ169" s="25">
        <v>0.12734177215189876</v>
      </c>
      <c r="CA169" s="23">
        <v>1.50675227484701E-2</v>
      </c>
      <c r="CB169" s="23">
        <v>1.5067522748470099</v>
      </c>
      <c r="CC169" s="23">
        <v>0.17804185582454041</v>
      </c>
      <c r="CD169" s="23">
        <v>2.0079372103467861E-2</v>
      </c>
      <c r="CE169" s="23">
        <v>3.1335239457349999E-2</v>
      </c>
      <c r="CF169" s="23">
        <v>1.2985499004833665</v>
      </c>
      <c r="CG169" s="23">
        <f t="shared" si="63"/>
        <v>0.26124818071101652</v>
      </c>
      <c r="CH169" s="26">
        <v>13.72</v>
      </c>
      <c r="CI169" s="26">
        <v>18.02</v>
      </c>
      <c r="CJ169" s="26">
        <v>1.1373541113707328</v>
      </c>
      <c r="CK169" s="26">
        <v>1.2557547866430441</v>
      </c>
      <c r="CL169" s="26">
        <v>-0.23862375138734734</v>
      </c>
      <c r="CM169" s="27">
        <v>14.834099616858232</v>
      </c>
      <c r="CN169" s="27">
        <v>-0.20282902322516949</v>
      </c>
      <c r="CO169" s="27">
        <v>8.3248809519999991</v>
      </c>
      <c r="CP169" s="27">
        <v>-0.18740286944946707</v>
      </c>
      <c r="CQ169" s="27">
        <v>73.031538461538446</v>
      </c>
      <c r="CR169" s="27">
        <v>2.494318825872599E-2</v>
      </c>
      <c r="CS169" s="27">
        <v>0.8023754789272034</v>
      </c>
      <c r="CT169" s="27">
        <v>0.83494252873563157</v>
      </c>
      <c r="CU169" s="27">
        <v>-3.9005139500733109E-2</v>
      </c>
      <c r="CV169" s="27">
        <v>0.96896551724137914</v>
      </c>
      <c r="CW169" s="27">
        <v>1.9863083220061237</v>
      </c>
      <c r="CX169" s="36">
        <v>0.62</v>
      </c>
      <c r="CY169" s="28">
        <v>0.54</v>
      </c>
      <c r="CZ169" s="29">
        <v>18.565019159999999</v>
      </c>
      <c r="DA169" s="27">
        <v>-0.24416841623821645</v>
      </c>
      <c r="DB169" s="27">
        <v>1.1698744465812936</v>
      </c>
      <c r="DC169" s="27">
        <v>1.7682050254071211</v>
      </c>
      <c r="DD169" s="27">
        <v>1</v>
      </c>
      <c r="DE169" s="27">
        <v>2</v>
      </c>
      <c r="DF169" s="27">
        <v>103</v>
      </c>
      <c r="DG169" s="28">
        <v>4.6347289882296359</v>
      </c>
      <c r="DH169" s="27">
        <v>1.0334399999999999</v>
      </c>
      <c r="DI169" s="27">
        <v>1.6</v>
      </c>
      <c r="DJ169" s="27">
        <v>1.4</v>
      </c>
      <c r="DK169" s="27">
        <v>1.3</v>
      </c>
      <c r="DL169" s="27">
        <v>1.2152522197973097E-2</v>
      </c>
      <c r="DM169" s="27">
        <v>0.72770000000000001</v>
      </c>
      <c r="DN169" s="28">
        <v>0.77380000000000004</v>
      </c>
      <c r="DO169" s="28">
        <v>3.3939070016034328E-2</v>
      </c>
      <c r="DP169" s="28">
        <f>(DM169-DM168)/DM168</f>
        <v>-3.9973614775725586E-2</v>
      </c>
      <c r="DQ169" s="27">
        <v>5.8499999999999996E-2</v>
      </c>
      <c r="DR169" s="27">
        <v>1.50675227484701E-2</v>
      </c>
      <c r="DS169" s="27">
        <v>3.1335239457349999E-2</v>
      </c>
      <c r="DT169" s="27">
        <v>2.0079372103467861E-2</v>
      </c>
      <c r="DU169" s="30">
        <v>7.3719619999999999</v>
      </c>
      <c r="DV169">
        <v>1.5</v>
      </c>
      <c r="DW169">
        <v>2.1</v>
      </c>
      <c r="DX169">
        <v>105.4</v>
      </c>
      <c r="DY169">
        <v>105.7</v>
      </c>
      <c r="DZ169">
        <v>0.2</v>
      </c>
      <c r="EA169">
        <v>0.8</v>
      </c>
      <c r="EB169">
        <v>1.343728</v>
      </c>
    </row>
    <row r="170" spans="1:132" ht="18">
      <c r="A170" s="14" t="s">
        <v>163</v>
      </c>
      <c r="B170" s="14">
        <v>13</v>
      </c>
      <c r="C170" s="14" t="s">
        <v>150</v>
      </c>
      <c r="D170" s="14" t="s">
        <v>159</v>
      </c>
      <c r="E170" s="14" t="s">
        <v>145</v>
      </c>
      <c r="F170" s="15">
        <v>13617</v>
      </c>
      <c r="G170" s="15">
        <v>4.1340814374625117</v>
      </c>
      <c r="J170" s="16"/>
      <c r="K170" s="16"/>
      <c r="L170" s="17">
        <v>5.9256390395042602E-2</v>
      </c>
      <c r="M170" s="18">
        <v>130</v>
      </c>
      <c r="N170" s="18">
        <v>116</v>
      </c>
      <c r="O170" s="18">
        <v>0.92474435046080039</v>
      </c>
      <c r="P170" s="18">
        <v>3</v>
      </c>
      <c r="Q170" s="18">
        <f t="shared" si="74"/>
        <v>2.3333333333333335</v>
      </c>
      <c r="R170" s="18">
        <v>130</v>
      </c>
      <c r="S170" s="18">
        <v>5</v>
      </c>
      <c r="T170" s="19">
        <v>69904</v>
      </c>
      <c r="U170" s="19">
        <v>4.8445020273654933</v>
      </c>
      <c r="V170" s="20">
        <v>43733.851999999999</v>
      </c>
      <c r="W170" s="20">
        <v>4.6408177309160665</v>
      </c>
      <c r="X170" s="20">
        <v>0.436</v>
      </c>
      <c r="Y170" s="20">
        <v>0.75742443940000004</v>
      </c>
      <c r="Z170" s="20">
        <f t="shared" si="60"/>
        <v>-0.12066068584666494</v>
      </c>
      <c r="AA170" s="20">
        <v>0.76577403389999998</v>
      </c>
      <c r="AB170" s="20">
        <v>19136.633300000001</v>
      </c>
      <c r="AC170" s="20">
        <v>75415.356100000005</v>
      </c>
      <c r="AD170" s="21">
        <v>34184.3194</v>
      </c>
      <c r="AE170" s="21">
        <f t="shared" si="69"/>
        <v>0.18083895464574942</v>
      </c>
      <c r="AF170" s="21">
        <f t="shared" si="70"/>
        <v>4.5338269376434921</v>
      </c>
      <c r="AG170" s="22">
        <v>5.8877797021732129E-3</v>
      </c>
      <c r="AH170" s="22"/>
      <c r="AI170" s="22">
        <v>1.122550648</v>
      </c>
      <c r="AJ170" s="22">
        <v>100307</v>
      </c>
      <c r="AK170" s="23">
        <f t="shared" si="68"/>
        <v>5.0013312416474802</v>
      </c>
      <c r="AL170" s="24">
        <v>0.29605034699999999</v>
      </c>
      <c r="AM170" s="22">
        <f>82594+53673</f>
        <v>136267</v>
      </c>
      <c r="AN170" s="22">
        <v>0.5929860138034273</v>
      </c>
      <c r="AO170" s="23">
        <v>1.7999169920634248E-2</v>
      </c>
      <c r="AP170" s="33">
        <v>7.1126720000000004E-2</v>
      </c>
      <c r="AQ170" s="23">
        <v>0.8520327817226625</v>
      </c>
      <c r="AR170" s="22">
        <v>189031.83480000001</v>
      </c>
      <c r="AS170" s="23">
        <v>5.3613462445753139</v>
      </c>
      <c r="AT170" s="23">
        <v>5.3788029323936524</v>
      </c>
      <c r="AU170" s="22">
        <v>1.0760000000000001</v>
      </c>
      <c r="AV170" s="22">
        <v>0.51381309860000002</v>
      </c>
      <c r="AW170" s="22">
        <v>101.4</v>
      </c>
      <c r="AX170" s="22">
        <v>105.9</v>
      </c>
      <c r="AY170" s="22">
        <v>3</v>
      </c>
      <c r="AZ170" s="24">
        <v>236122</v>
      </c>
      <c r="BA170" s="24">
        <f t="shared" si="61"/>
        <v>5.3731364531248191</v>
      </c>
      <c r="BB170" s="24">
        <v>152975</v>
      </c>
      <c r="BC170" s="24">
        <f t="shared" si="62"/>
        <v>5.1846204618686862</v>
      </c>
      <c r="BD170" s="24">
        <v>83147</v>
      </c>
      <c r="BE170" s="22">
        <v>4250</v>
      </c>
      <c r="BF170" s="22">
        <f>STDEVP(BE169:BE170)</f>
        <v>3635.5</v>
      </c>
      <c r="BG170" s="23">
        <v>-0.63110841072823542</v>
      </c>
      <c r="BH170" s="23">
        <v>1.8494503868615043E-2</v>
      </c>
      <c r="BI170" s="23">
        <v>4.8160084941665307E-2</v>
      </c>
      <c r="BJ170" s="23">
        <v>3.0652164637409177E-2</v>
      </c>
      <c r="BK170" s="23">
        <v>-0.61597858701834074</v>
      </c>
      <c r="BL170" s="22">
        <v>11521</v>
      </c>
      <c r="BM170" s="22">
        <v>20975.5128</v>
      </c>
      <c r="BN170" s="22">
        <f>STDEVP(BM169:BM170)</f>
        <v>84.788350000000719</v>
      </c>
      <c r="BO170" s="22">
        <v>4.3217125870686992</v>
      </c>
      <c r="BP170" s="22">
        <v>8.883336919050322E-2</v>
      </c>
      <c r="BQ170" s="22">
        <v>3.089966748394922E-3</v>
      </c>
      <c r="BR170" s="22">
        <v>1.140080707437055E-3</v>
      </c>
      <c r="BS170" s="22">
        <v>-19919.692899999998</v>
      </c>
      <c r="BT170" s="22">
        <v>4.2992826386628069</v>
      </c>
      <c r="BU170" s="22">
        <v>8.6683491153099673E-2</v>
      </c>
      <c r="BV170" s="23">
        <v>15079.630999999999</v>
      </c>
      <c r="BW170" s="22">
        <v>46412.737200000003</v>
      </c>
      <c r="BX170" s="22">
        <v>42.52</v>
      </c>
      <c r="BY170" s="22">
        <v>1.6285932558512592</v>
      </c>
      <c r="BZ170" s="25">
        <v>-4.5138109139905638E-2</v>
      </c>
      <c r="CA170" s="23">
        <v>3.1335239457349999E-2</v>
      </c>
      <c r="CB170" s="23">
        <v>3.1335239457349999</v>
      </c>
      <c r="CC170" s="23">
        <v>0.49603301783632175</v>
      </c>
      <c r="CD170" s="23">
        <v>1.50675227484701E-2</v>
      </c>
      <c r="CE170" s="23">
        <v>2.7077520000000001E-2</v>
      </c>
      <c r="CF170" s="23">
        <v>1.4303267973856209</v>
      </c>
      <c r="CG170" s="23">
        <f t="shared" si="63"/>
        <v>0.35790294780318965</v>
      </c>
      <c r="CH170" s="26">
        <v>19.2</v>
      </c>
      <c r="CI170" s="26">
        <v>13.72</v>
      </c>
      <c r="CJ170" s="26">
        <v>1.2833012287035497</v>
      </c>
      <c r="CK170" s="26">
        <v>1.1373541113707328</v>
      </c>
      <c r="CL170" s="26">
        <v>0.39941690962099113</v>
      </c>
      <c r="CM170" s="27">
        <v>14.883180076628348</v>
      </c>
      <c r="CN170" s="27">
        <v>3.3086241186042575E-3</v>
      </c>
      <c r="CO170" s="27">
        <v>6.9159523810000003</v>
      </c>
      <c r="CP170" s="27">
        <v>-0.1692430893755319</v>
      </c>
      <c r="CQ170" s="27">
        <v>64.583076923076902</v>
      </c>
      <c r="CR170" s="27">
        <v>-0.11568237115682381</v>
      </c>
      <c r="CS170" s="27">
        <v>0.66574712643678124</v>
      </c>
      <c r="CT170" s="27">
        <v>0.8023754789272034</v>
      </c>
      <c r="CU170" s="27">
        <v>-0.1702798204564997</v>
      </c>
      <c r="CV170" s="27">
        <v>0.67685823754789287</v>
      </c>
      <c r="CW170" s="27">
        <v>1.8304977187626064</v>
      </c>
      <c r="CX170" s="36">
        <v>1.33</v>
      </c>
      <c r="CY170" s="28">
        <v>0.62</v>
      </c>
      <c r="CZ170" s="29">
        <v>18.278045980000002</v>
      </c>
      <c r="DA170" s="27">
        <v>-1.5457736807420394E-2</v>
      </c>
      <c r="DC170" s="27">
        <v>1.1698744465812936</v>
      </c>
      <c r="DD170" s="27">
        <v>1</v>
      </c>
      <c r="DE170" s="27">
        <v>1.5</v>
      </c>
      <c r="DF170" s="27">
        <v>104</v>
      </c>
      <c r="DG170" s="28">
        <v>4.6443908991413725</v>
      </c>
      <c r="DH170" s="27">
        <v>1.0435000000000001</v>
      </c>
      <c r="DI170" s="27">
        <v>1.6</v>
      </c>
      <c r="DJ170" s="27">
        <v>0.7</v>
      </c>
      <c r="DK170" s="27">
        <v>1</v>
      </c>
      <c r="DL170" s="27">
        <v>1.7108786898118553E-2</v>
      </c>
      <c r="DM170" s="27">
        <v>0.8266</v>
      </c>
      <c r="DN170" s="28">
        <v>0.75860000000000005</v>
      </c>
      <c r="DO170" s="28">
        <v>-1.9643318686999211E-2</v>
      </c>
      <c r="DP170" s="28">
        <f t="shared" si="77"/>
        <v>0.13590765425312626</v>
      </c>
      <c r="DQ170" s="27">
        <v>0.10860000000000003</v>
      </c>
      <c r="DR170" s="27">
        <v>3.1335239457349999E-2</v>
      </c>
      <c r="DS170" s="27">
        <v>2.7611694356583942E-2</v>
      </c>
      <c r="DT170" s="27">
        <v>1.50675227484701E-2</v>
      </c>
      <c r="DU170" s="30">
        <v>6.1553740000000001</v>
      </c>
      <c r="DV170">
        <v>1.6</v>
      </c>
      <c r="DW170">
        <v>2.2999999999999998</v>
      </c>
      <c r="DX170">
        <v>107</v>
      </c>
      <c r="DY170">
        <v>107.5</v>
      </c>
      <c r="DZ170">
        <v>0.4</v>
      </c>
      <c r="EA170">
        <v>1.1000000000000001</v>
      </c>
      <c r="EB170">
        <v>1.4054869999999999</v>
      </c>
    </row>
    <row r="171" spans="1:132" ht="18">
      <c r="A171" s="14" t="s">
        <v>164</v>
      </c>
      <c r="B171" s="14">
        <v>1</v>
      </c>
      <c r="C171" s="14" t="s">
        <v>165</v>
      </c>
      <c r="D171" s="14" t="s">
        <v>148</v>
      </c>
      <c r="E171" s="14" t="s">
        <v>145</v>
      </c>
      <c r="F171" s="15">
        <v>282.5</v>
      </c>
      <c r="G171" s="15">
        <v>2.4510184521554574</v>
      </c>
      <c r="H171" s="15">
        <v>129</v>
      </c>
      <c r="I171" s="15">
        <v>32.6</v>
      </c>
      <c r="J171" s="16">
        <v>121</v>
      </c>
      <c r="K171" s="16">
        <v>1</v>
      </c>
      <c r="L171" s="17">
        <v>1.3928881350583781E-2</v>
      </c>
      <c r="M171" s="18">
        <v>100</v>
      </c>
      <c r="N171" s="18">
        <v>41</v>
      </c>
      <c r="O171" s="18">
        <v>0.66400904385077619</v>
      </c>
      <c r="P171" s="18">
        <v>2</v>
      </c>
      <c r="Q171" s="18">
        <v>2</v>
      </c>
      <c r="R171" s="18">
        <v>100</v>
      </c>
      <c r="S171" s="18">
        <v>5</v>
      </c>
      <c r="T171" s="19">
        <v>1965.5</v>
      </c>
      <c r="U171" s="19">
        <v>3.2934730481561081</v>
      </c>
      <c r="V171" s="20">
        <v>25116</v>
      </c>
      <c r="W171" s="20">
        <v>4.3999504743863111</v>
      </c>
      <c r="X171" s="20">
        <v>0.19717381064531322</v>
      </c>
      <c r="Y171" s="20">
        <v>0.1165723776</v>
      </c>
      <c r="Z171" s="20">
        <f t="shared" si="60"/>
        <v>-0.93340434560677044</v>
      </c>
      <c r="AA171" s="20"/>
      <c r="AB171" s="20"/>
      <c r="AD171" s="21">
        <v>502.2</v>
      </c>
      <c r="AE171" s="21">
        <f t="shared" si="69"/>
        <v>2.4761360050489116E-2</v>
      </c>
      <c r="AF171" s="21">
        <f t="shared" si="70"/>
        <v>2.7008767083769034</v>
      </c>
      <c r="AG171" s="22"/>
      <c r="AH171" s="22"/>
      <c r="AI171" s="22">
        <v>1.9250019249999999</v>
      </c>
      <c r="AJ171" s="22">
        <v>127380</v>
      </c>
      <c r="AK171" s="23">
        <f t="shared" si="68"/>
        <v>5.1051012445496422</v>
      </c>
      <c r="AL171" s="24">
        <v>0.111970058</v>
      </c>
      <c r="AM171" s="22">
        <v>14419.2</v>
      </c>
      <c r="AN171" s="22">
        <f>AM171/AR171</f>
        <v>0.71094982644367322</v>
      </c>
      <c r="AO171" s="23">
        <v>3.1719627658968429E-2</v>
      </c>
      <c r="AP171" s="23">
        <v>2.6406197926801146E-3</v>
      </c>
      <c r="AQ171" s="23">
        <v>-0.57829412580099104</v>
      </c>
      <c r="AR171" s="22">
        <v>20281.599999999999</v>
      </c>
      <c r="AS171" s="23">
        <v>4.3071022131741881</v>
      </c>
      <c r="AT171" s="23">
        <f>LOG(20302.7)</f>
        <v>4.3075537973776266</v>
      </c>
      <c r="AU171" s="22">
        <v>5.5510000000000002</v>
      </c>
      <c r="AV171" s="22">
        <v>2.255640256</v>
      </c>
      <c r="AW171" s="22">
        <v>5</v>
      </c>
      <c r="AX171" s="22"/>
      <c r="AY171" s="22">
        <v>1</v>
      </c>
      <c r="AZ171" s="24">
        <v>17553.8</v>
      </c>
      <c r="BA171" s="24">
        <f t="shared" si="61"/>
        <v>4.2443711458952906</v>
      </c>
      <c r="BB171" s="24">
        <v>16779.900000000001</v>
      </c>
      <c r="BC171" s="24">
        <f t="shared" si="62"/>
        <v>4.2247893683176159</v>
      </c>
      <c r="BD171" s="24">
        <v>773.89999999999782</v>
      </c>
      <c r="BE171" s="22">
        <v>556.79999999999995</v>
      </c>
      <c r="BF171" s="22">
        <v>51.39999999999992</v>
      </c>
      <c r="BG171" s="23">
        <v>0.22643171806167392</v>
      </c>
      <c r="BH171" s="23">
        <v>2.7453455348690439E-2</v>
      </c>
      <c r="BI171" s="23">
        <v>2.2361557822358602E-2</v>
      </c>
      <c r="BJ171" s="23">
        <v>3.4263590351493105E-3</v>
      </c>
      <c r="BK171" s="23">
        <v>0.22770763856356255</v>
      </c>
      <c r="BL171" s="22">
        <v>453.5</v>
      </c>
      <c r="BM171" s="22">
        <v>711.1</v>
      </c>
      <c r="BN171" s="22"/>
      <c r="BO171" s="22">
        <v>2.8519306786402674</v>
      </c>
      <c r="BP171" s="22">
        <v>4.0509747177249374E-2</v>
      </c>
      <c r="BQ171" s="22">
        <v>1.6141585763809505E-2</v>
      </c>
      <c r="BR171" s="22"/>
      <c r="BS171" s="22">
        <v>-1055.7</v>
      </c>
      <c r="BT171" s="22">
        <v>3.0235405215548541</v>
      </c>
      <c r="BU171" s="22">
        <v>5.2052106342694859E-2</v>
      </c>
      <c r="BV171" s="23">
        <v>1279.5</v>
      </c>
      <c r="BW171" s="22">
        <v>5858.8</v>
      </c>
      <c r="BX171" s="22">
        <v>5.62</v>
      </c>
      <c r="BY171" s="22">
        <v>0.74973631556906106</v>
      </c>
      <c r="BZ171" s="25">
        <v>-8.3197389885807466E-2</v>
      </c>
      <c r="CA171" s="23">
        <v>2.006458541923192</v>
      </c>
      <c r="CB171" s="23">
        <v>200.64585419231921</v>
      </c>
      <c r="CC171" s="23">
        <v>2.3024301906335261</v>
      </c>
      <c r="CD171" s="23">
        <v>0.73844560999999997</v>
      </c>
      <c r="CE171" s="23">
        <v>0.9119416334325825</v>
      </c>
      <c r="CF171" s="23">
        <v>1.4344391785150079</v>
      </c>
      <c r="CG171" s="23">
        <f t="shared" si="63"/>
        <v>0.36077395645711713</v>
      </c>
      <c r="CH171" s="26">
        <v>28.62</v>
      </c>
      <c r="CI171" s="26">
        <v>23.8</v>
      </c>
      <c r="CJ171" s="26">
        <v>1.4566696294237576</v>
      </c>
      <c r="CK171" s="26">
        <v>1.3765769570565121</v>
      </c>
      <c r="CL171" s="26">
        <v>0.20252100840336135</v>
      </c>
      <c r="CM171" s="27">
        <v>28.164291187739472</v>
      </c>
      <c r="CN171" s="27">
        <v>5.6821432935815153E-2</v>
      </c>
      <c r="CQ171" s="27">
        <v>125.09884615384618</v>
      </c>
      <c r="CR171" s="27">
        <v>0.13726223776223803</v>
      </c>
      <c r="CS171" s="27">
        <v>0.92386973180076593</v>
      </c>
      <c r="CT171" s="27">
        <v>1.0645593900000001</v>
      </c>
      <c r="CU171" s="27">
        <v>-0.12842478132003218</v>
      </c>
      <c r="CX171" s="36">
        <v>0.76</v>
      </c>
      <c r="CY171" s="28">
        <v>0.82</v>
      </c>
      <c r="CZ171" s="29">
        <v>37.275402300000003</v>
      </c>
      <c r="DA171" s="27">
        <v>0.32652677224199295</v>
      </c>
      <c r="DB171" s="27">
        <v>2.5105365885464708</v>
      </c>
      <c r="DC171" s="27">
        <v>1.25643310503606</v>
      </c>
      <c r="DD171" s="27">
        <v>1</v>
      </c>
      <c r="DE171" s="27">
        <v>1.5</v>
      </c>
      <c r="DF171" s="27">
        <v>87.3</v>
      </c>
      <c r="DG171" s="28">
        <v>4.4693504628455569</v>
      </c>
      <c r="DH171" s="27">
        <v>0.88536000000000004</v>
      </c>
      <c r="DI171" s="27">
        <v>2.5</v>
      </c>
      <c r="DJ171" s="27">
        <v>2.7</v>
      </c>
      <c r="DK171" s="27">
        <v>2.2999999999999998</v>
      </c>
      <c r="DL171" s="27">
        <v>1.1731637610823707E-2</v>
      </c>
      <c r="DM171" s="27">
        <v>0.95289999999999997</v>
      </c>
      <c r="DN171" s="28">
        <v>1.1605000000000001</v>
      </c>
      <c r="DO171" s="28">
        <v>9.3264248704663183E-2</v>
      </c>
      <c r="DP171" s="28">
        <f>(DM171-1.1242)/1.1242</f>
        <v>-0.15237502223803603</v>
      </c>
      <c r="DQ171" s="27">
        <v>0.20879999999999999</v>
      </c>
      <c r="DR171" s="27">
        <v>6.0688564775993471E-2</v>
      </c>
      <c r="DS171" s="27">
        <v>3.9305854754660308E-2</v>
      </c>
      <c r="DT171" s="27">
        <v>3.268886E-2</v>
      </c>
      <c r="DU171" s="30">
        <v>5.7817160000000003</v>
      </c>
      <c r="DV171">
        <v>0.9</v>
      </c>
      <c r="DW171">
        <v>2.8</v>
      </c>
      <c r="DX171">
        <v>84</v>
      </c>
      <c r="DY171">
        <v>80.900000000000006</v>
      </c>
      <c r="DZ171">
        <v>2.2000000000000002</v>
      </c>
      <c r="EA171">
        <v>3</v>
      </c>
      <c r="EB171">
        <v>1.701892</v>
      </c>
    </row>
    <row r="172" spans="1:132" ht="18">
      <c r="A172" s="14" t="s">
        <v>164</v>
      </c>
      <c r="B172" s="14">
        <v>2</v>
      </c>
      <c r="C172" s="14" t="s">
        <v>165</v>
      </c>
      <c r="D172" s="14" t="s">
        <v>148</v>
      </c>
      <c r="E172" s="14" t="s">
        <v>145</v>
      </c>
      <c r="F172" s="15">
        <v>270.3</v>
      </c>
      <c r="G172" s="15">
        <v>2.4318460456987254</v>
      </c>
      <c r="H172" s="15">
        <v>149.5</v>
      </c>
      <c r="I172" s="15">
        <v>74.3</v>
      </c>
      <c r="J172" s="16">
        <v>46.5</v>
      </c>
      <c r="K172" s="16">
        <v>1</v>
      </c>
      <c r="L172" s="17">
        <v>1.2374447201442998E-2</v>
      </c>
      <c r="M172" s="18">
        <v>100</v>
      </c>
      <c r="N172" s="18">
        <v>41</v>
      </c>
      <c r="O172" s="18">
        <v>0.66400904385077619</v>
      </c>
      <c r="P172" s="18">
        <v>2</v>
      </c>
      <c r="Q172" s="18">
        <v>2</v>
      </c>
      <c r="R172" s="18">
        <v>100</v>
      </c>
      <c r="S172" s="18">
        <v>5</v>
      </c>
      <c r="T172" s="19">
        <v>1750.8</v>
      </c>
      <c r="U172" s="19">
        <v>3.2432365379410766</v>
      </c>
      <c r="V172" s="20">
        <v>23568</v>
      </c>
      <c r="W172" s="20">
        <v>4.3723227294985554</v>
      </c>
      <c r="X172" s="20">
        <v>0.18482821359390808</v>
      </c>
      <c r="Y172" s="20">
        <v>5.2930313399999998E-2</v>
      </c>
      <c r="Z172" s="20">
        <f t="shared" si="60"/>
        <v>-1.2762955345466562</v>
      </c>
      <c r="AA172" s="20"/>
      <c r="AB172" s="20"/>
      <c r="AD172" s="21">
        <v>458</v>
      </c>
      <c r="AE172" s="21">
        <f t="shared" si="69"/>
        <v>2.0967431810066196E-2</v>
      </c>
      <c r="AF172" s="21">
        <f t="shared" si="70"/>
        <v>2.6608654780038692</v>
      </c>
      <c r="AG172" s="22"/>
      <c r="AH172" s="22"/>
      <c r="AI172" s="22">
        <v>2.247267527</v>
      </c>
      <c r="AJ172" s="22">
        <v>127513</v>
      </c>
      <c r="AK172" s="23">
        <f t="shared" si="68"/>
        <v>5.1055544635186623</v>
      </c>
      <c r="AL172" s="24">
        <v>9.6671598999999997E-2</v>
      </c>
      <c r="AM172" s="22">
        <f>6776.5+63.2+8725+115</f>
        <v>15679.7</v>
      </c>
      <c r="AN172" s="22">
        <f t="shared" ref="AN172:AN182" si="78">AM172/AR172</f>
        <v>0.71782323264693226</v>
      </c>
      <c r="AO172" s="23">
        <v>3.5188948031009123E-2</v>
      </c>
      <c r="AP172" s="33">
        <v>2.4508009999999998E-3</v>
      </c>
      <c r="AQ172" s="23">
        <v>-0.61069195113492891</v>
      </c>
      <c r="AR172" s="22">
        <v>21843.4</v>
      </c>
      <c r="AS172" s="23">
        <v>4.3393202387173835</v>
      </c>
      <c r="AT172" s="23">
        <v>4.3071022131741881</v>
      </c>
      <c r="AU172" s="22">
        <v>5.3</v>
      </c>
      <c r="AV172" s="22">
        <v>2.3073649089999999</v>
      </c>
      <c r="AW172" s="22">
        <v>6.6</v>
      </c>
      <c r="AX172" s="22">
        <v>5</v>
      </c>
      <c r="AY172" s="22">
        <v>1</v>
      </c>
      <c r="AZ172" s="24">
        <v>18110.8</v>
      </c>
      <c r="BA172" s="24">
        <f t="shared" si="61"/>
        <v>4.2579376346272477</v>
      </c>
      <c r="BB172" s="24">
        <v>17098</v>
      </c>
      <c r="BC172" s="24">
        <f t="shared" si="62"/>
        <v>4.232945312745227</v>
      </c>
      <c r="BD172" s="24">
        <v>1012.7999999999993</v>
      </c>
      <c r="BE172" s="22">
        <v>637.29999999999995</v>
      </c>
      <c r="BF172" s="22">
        <f>STDEVP(BE171:BE172)</f>
        <v>40.25</v>
      </c>
      <c r="BG172" s="23">
        <v>0.14457614942528738</v>
      </c>
      <c r="BH172" s="23">
        <v>2.9175860900775515E-2</v>
      </c>
      <c r="BI172" s="23">
        <v>2.7453455348690439E-2</v>
      </c>
      <c r="BJ172" s="23">
        <v>3.4263590351493105E-3</v>
      </c>
      <c r="BK172" s="23">
        <v>6.2739117178823037E-2</v>
      </c>
      <c r="BL172" s="22">
        <v>556.79999999999995</v>
      </c>
      <c r="BM172" s="22">
        <v>534.5</v>
      </c>
      <c r="BN172" s="22">
        <f>STDEVP(BM171:BM172)</f>
        <v>88.300000000000082</v>
      </c>
      <c r="BO172" s="22">
        <v>2.727947709544797</v>
      </c>
      <c r="BP172" s="22">
        <v>2.951277690659717E-2</v>
      </c>
      <c r="BQ172" s="22">
        <v>5.4984851353261019E-3</v>
      </c>
      <c r="BR172" s="22">
        <v>1.6141585763809505E-2</v>
      </c>
      <c r="BS172" s="22">
        <v>-164.2</v>
      </c>
      <c r="BT172" s="22">
        <v>2.215373152783422</v>
      </c>
      <c r="BU172" s="22">
        <v>7.5171447668403264E-3</v>
      </c>
      <c r="BV172" s="23">
        <v>336.1</v>
      </c>
      <c r="BW172" s="23">
        <v>21901</v>
      </c>
      <c r="BX172" s="22">
        <v>7.88</v>
      </c>
      <c r="BY172" s="22">
        <v>0.8965262174895553</v>
      </c>
      <c r="BZ172" s="25">
        <v>0.40213523131672596</v>
      </c>
      <c r="CA172" s="23">
        <v>0.9119416334325825</v>
      </c>
      <c r="CB172" s="23">
        <v>91.194163343258253</v>
      </c>
      <c r="CC172" s="23">
        <v>1.959967043274341</v>
      </c>
      <c r="CD172" s="23">
        <v>2.006458541923192</v>
      </c>
      <c r="CE172" s="23">
        <v>0.93141113104069884</v>
      </c>
      <c r="CF172" s="23">
        <v>1.3479674796747965</v>
      </c>
      <c r="CG172" s="23">
        <f t="shared" si="63"/>
        <v>0.2985978873287769</v>
      </c>
      <c r="CH172" s="26">
        <v>18.309999999999999</v>
      </c>
      <c r="CI172" s="26">
        <v>28.62</v>
      </c>
      <c r="CJ172" s="26">
        <v>1.2626883443016965</v>
      </c>
      <c r="CK172" s="26">
        <v>1.4566696294237576</v>
      </c>
      <c r="CL172" s="26">
        <v>-0.36023759608665273</v>
      </c>
      <c r="CM172" s="27">
        <v>22.615402298850572</v>
      </c>
      <c r="CN172" s="27">
        <v>-0.19701858825065877</v>
      </c>
      <c r="CQ172" s="27">
        <v>115.89653846153851</v>
      </c>
      <c r="CR172" s="27">
        <v>-7.3560292322686169E-2</v>
      </c>
      <c r="CS172" s="27">
        <v>0.92888888888888932</v>
      </c>
      <c r="CT172" s="27">
        <v>0.92386973180076604</v>
      </c>
      <c r="CU172" s="27">
        <v>5.4327541160378483E-3</v>
      </c>
      <c r="CX172" s="36">
        <v>0.66</v>
      </c>
      <c r="CY172" s="28">
        <v>0.76</v>
      </c>
      <c r="CZ172" s="29">
        <v>31.998965519999999</v>
      </c>
      <c r="DA172" s="27">
        <v>-0.14155277889515908</v>
      </c>
      <c r="DB172" s="27">
        <v>2.6347679627304119</v>
      </c>
      <c r="DC172" s="27">
        <v>2.5105365885464708</v>
      </c>
      <c r="DD172" s="27">
        <v>1</v>
      </c>
      <c r="DE172" s="27">
        <v>1.8</v>
      </c>
      <c r="DF172" s="27">
        <v>88.9</v>
      </c>
      <c r="DG172" s="28">
        <v>4.4875121425198587</v>
      </c>
      <c r="DH172" s="27">
        <v>0.90083999999999997</v>
      </c>
      <c r="DI172" s="27">
        <v>2.4</v>
      </c>
      <c r="DJ172" s="27">
        <v>2.2000000000000002</v>
      </c>
      <c r="DK172" s="27">
        <v>2</v>
      </c>
      <c r="DL172" s="27">
        <v>1.6216043547496031E-2</v>
      </c>
      <c r="DM172" s="27">
        <v>0.79400000000000004</v>
      </c>
      <c r="DN172" s="28">
        <v>1.1231</v>
      </c>
      <c r="DO172" s="28">
        <v>-3.2227488151658851E-2</v>
      </c>
      <c r="DP172" s="28">
        <f>(DM172-DM171)/DM171</f>
        <v>-0.16675411900514214</v>
      </c>
      <c r="DQ172" s="27">
        <v>0.17130000000000001</v>
      </c>
      <c r="DR172" s="27">
        <v>3.9305854754660308E-2</v>
      </c>
      <c r="DS172" s="27">
        <v>2.6867542601332471E-2</v>
      </c>
      <c r="DT172" s="27">
        <v>6.0688564775993471E-2</v>
      </c>
      <c r="DU172" s="30">
        <v>5.9865389999999996</v>
      </c>
      <c r="DV172">
        <v>0.9</v>
      </c>
      <c r="DW172">
        <v>2.8</v>
      </c>
      <c r="DX172">
        <v>85.7</v>
      </c>
      <c r="DY172">
        <v>82.9</v>
      </c>
      <c r="DZ172">
        <v>2.4</v>
      </c>
      <c r="EA172">
        <v>2</v>
      </c>
      <c r="EB172">
        <v>1.4781599999999999</v>
      </c>
    </row>
    <row r="173" spans="1:132" ht="18">
      <c r="A173" s="14" t="s">
        <v>164</v>
      </c>
      <c r="B173" s="14">
        <v>3</v>
      </c>
      <c r="C173" s="14" t="s">
        <v>165</v>
      </c>
      <c r="D173" s="14" t="s">
        <v>148</v>
      </c>
      <c r="E173" s="14" t="s">
        <v>145</v>
      </c>
      <c r="F173" s="15">
        <v>128</v>
      </c>
      <c r="G173" s="15">
        <v>2.1072099696478683</v>
      </c>
      <c r="H173" s="15">
        <v>51.2</v>
      </c>
      <c r="I173" s="15">
        <v>6.2</v>
      </c>
      <c r="J173" s="16">
        <v>70.599999999999994</v>
      </c>
      <c r="K173" s="16">
        <v>1</v>
      </c>
      <c r="L173" s="17">
        <v>5.5783143031465183E-3</v>
      </c>
      <c r="M173" s="18">
        <v>100</v>
      </c>
      <c r="N173" s="18">
        <v>41</v>
      </c>
      <c r="O173" s="18">
        <v>0.66400904385077619</v>
      </c>
      <c r="P173" s="18">
        <v>2</v>
      </c>
      <c r="Q173" s="18">
        <v>2</v>
      </c>
      <c r="R173" s="18">
        <v>100</v>
      </c>
      <c r="S173" s="18">
        <v>5</v>
      </c>
      <c r="T173" s="19">
        <v>1420.6</v>
      </c>
      <c r="U173" s="19">
        <v>3.1524718103360363</v>
      </c>
      <c r="V173" s="20">
        <v>21083</v>
      </c>
      <c r="W173" s="20">
        <v>4.3239324087579938</v>
      </c>
      <c r="X173" s="20">
        <v>0.16415562978362258</v>
      </c>
      <c r="Y173" s="20">
        <v>3.9279077459999999E-2</v>
      </c>
      <c r="Z173" s="20">
        <f t="shared" si="60"/>
        <v>-1.4058387209547503</v>
      </c>
      <c r="AA173" s="20"/>
      <c r="AB173" s="20"/>
      <c r="AD173" s="21">
        <v>471</v>
      </c>
      <c r="AE173" s="21">
        <f t="shared" si="69"/>
        <v>2.0526453412359452E-2</v>
      </c>
      <c r="AF173" s="21">
        <f t="shared" si="70"/>
        <v>2.6730209071288962</v>
      </c>
      <c r="AG173" s="22"/>
      <c r="AH173" s="22"/>
      <c r="AI173" s="22">
        <v>3.116814218</v>
      </c>
      <c r="AJ173" s="22">
        <v>128433</v>
      </c>
      <c r="AK173" s="23">
        <f t="shared" si="68"/>
        <v>5.1086766271325663</v>
      </c>
      <c r="AL173" s="24">
        <v>7.4548306999999994E-2</v>
      </c>
      <c r="AM173" s="22">
        <f>7202+12129</f>
        <v>19331</v>
      </c>
      <c r="AN173" s="22">
        <f t="shared" si="78"/>
        <v>0.84245620151660416</v>
      </c>
      <c r="AO173" s="23">
        <v>4.3991162934703322E-2</v>
      </c>
      <c r="AP173" s="33">
        <v>6.11234E-3</v>
      </c>
      <c r="AQ173" s="23">
        <v>-0.21379249605262821</v>
      </c>
      <c r="AR173" s="22">
        <v>22946</v>
      </c>
      <c r="AS173" s="23">
        <v>4.3607069892487367</v>
      </c>
      <c r="AT173" s="23">
        <v>4.3393202387173835</v>
      </c>
      <c r="AU173" s="22">
        <v>3.9670000000000001</v>
      </c>
      <c r="AV173" s="22">
        <v>2.5985278030000001</v>
      </c>
      <c r="AW173" s="22">
        <v>9.4</v>
      </c>
      <c r="AX173" s="22">
        <v>6.6</v>
      </c>
      <c r="AY173" s="22">
        <v>1</v>
      </c>
      <c r="AZ173" s="24">
        <v>19056.099999999999</v>
      </c>
      <c r="BA173" s="24">
        <f t="shared" si="61"/>
        <v>4.2800340231759737</v>
      </c>
      <c r="BB173" s="24">
        <v>18008.099999999999</v>
      </c>
      <c r="BC173" s="24">
        <f t="shared" si="62"/>
        <v>4.2554678936610335</v>
      </c>
      <c r="BD173" s="24">
        <v>1048</v>
      </c>
      <c r="BE173" s="22">
        <v>838.3</v>
      </c>
      <c r="BF173" s="22">
        <f t="shared" ref="BF173:BF183" si="79">STDEVP(BE172:BE173)</f>
        <v>100.49999999999942</v>
      </c>
      <c r="BG173" s="23">
        <v>0.31539306449082066</v>
      </c>
      <c r="BH173" s="23">
        <v>3.6533600627560357E-2</v>
      </c>
      <c r="BI173" s="23">
        <v>2.9175860900775515E-2</v>
      </c>
      <c r="BJ173" s="23">
        <v>3.4263590351493105E-3</v>
      </c>
      <c r="BK173" s="23">
        <v>0.25218586528801518</v>
      </c>
      <c r="BL173" s="22">
        <v>637.29999999999995</v>
      </c>
      <c r="BM173" s="22">
        <v>1857.9</v>
      </c>
      <c r="BN173" s="22">
        <f t="shared" ref="BN173:BN182" si="80">STDEVP(BM172:BM173)</f>
        <v>661.69999999999993</v>
      </c>
      <c r="BO173" s="22">
        <v>3.2690223347292338</v>
      </c>
      <c r="BP173" s="22">
        <v>9.7496339754724215E-2</v>
      </c>
      <c r="BQ173" s="22">
        <v>3.3991781424063519E-2</v>
      </c>
      <c r="BR173" s="22">
        <v>5.4984851353261019E-3</v>
      </c>
      <c r="BS173" s="22">
        <v>-1258</v>
      </c>
      <c r="BT173" s="22">
        <v>3.0996806411092499</v>
      </c>
      <c r="BU173" s="22">
        <v>5.482437026061187E-2</v>
      </c>
      <c r="BV173" s="23">
        <v>1769.6</v>
      </c>
      <c r="BW173" s="22">
        <v>7836.9</v>
      </c>
      <c r="BX173" s="22">
        <v>14.34</v>
      </c>
      <c r="BY173" s="22">
        <v>1.1565491513317814</v>
      </c>
      <c r="BZ173" s="25">
        <v>0.81979695431472077</v>
      </c>
      <c r="CA173" s="23">
        <v>0.93141113104069884</v>
      </c>
      <c r="CB173" s="23">
        <v>93.141113104069888</v>
      </c>
      <c r="CC173" s="23">
        <v>1.9691414237627716</v>
      </c>
      <c r="CD173" s="23">
        <v>0.9119416334325825</v>
      </c>
      <c r="CE173" s="23">
        <v>0.9444932221635417</v>
      </c>
      <c r="CF173" s="23">
        <v>1.5649935649935651</v>
      </c>
      <c r="CG173" s="23">
        <f t="shared" si="63"/>
        <v>0.44788171215846495</v>
      </c>
      <c r="CH173" s="26">
        <v>13.29</v>
      </c>
      <c r="CI173" s="26">
        <v>18.309999999999999</v>
      </c>
      <c r="CJ173" s="26">
        <v>1.1235249809427319</v>
      </c>
      <c r="CK173" s="26">
        <v>1.2626883443016965</v>
      </c>
      <c r="CL173" s="26">
        <v>-0.27416712179137082</v>
      </c>
      <c r="CM173" s="27">
        <v>16.030268199233717</v>
      </c>
      <c r="CN173" s="27">
        <v>-0.29117917128326054</v>
      </c>
      <c r="CQ173" s="27">
        <v>102.09153846153851</v>
      </c>
      <c r="CR173" s="27">
        <v>-0.11911486040268011</v>
      </c>
      <c r="CS173" s="27">
        <v>0.9859003831417622</v>
      </c>
      <c r="CT173" s="27">
        <v>0.92888888888888899</v>
      </c>
      <c r="CU173" s="27">
        <v>6.1376010559312889E-2</v>
      </c>
      <c r="CV173" s="27">
        <v>1.140877862595419</v>
      </c>
      <c r="CW173" s="27">
        <v>2.0572391532349976</v>
      </c>
      <c r="CX173" s="36">
        <v>1.07</v>
      </c>
      <c r="CY173" s="28">
        <v>0.66</v>
      </c>
      <c r="CZ173" s="29">
        <v>18.886297710000001</v>
      </c>
      <c r="DA173" s="27">
        <v>-0.40978411635852152</v>
      </c>
      <c r="DB173" s="27">
        <v>266.87708664986224</v>
      </c>
      <c r="DC173" s="27">
        <v>2.6347679627304119</v>
      </c>
      <c r="DD173" s="27">
        <v>1</v>
      </c>
      <c r="DE173" s="27">
        <v>2</v>
      </c>
      <c r="DF173" s="27">
        <v>90.4</v>
      </c>
      <c r="DG173" s="28">
        <v>4.5042442673981311</v>
      </c>
      <c r="DH173" s="27">
        <v>0.91725999999999996</v>
      </c>
      <c r="DI173" s="27">
        <v>2.2999999999999998</v>
      </c>
      <c r="DJ173" s="27">
        <v>2.4</v>
      </c>
      <c r="DK173" s="27">
        <v>2.1</v>
      </c>
      <c r="DL173" s="27">
        <v>1.3035848693861207E-2</v>
      </c>
      <c r="DM173" s="27">
        <v>0.73780000000000001</v>
      </c>
      <c r="DN173" s="28">
        <v>0.95269999999999999</v>
      </c>
      <c r="DO173" s="28">
        <v>-0.15172290980322323</v>
      </c>
      <c r="DP173" s="28">
        <f t="shared" ref="DP173:DP183" si="81">(DM173-DM172)/DM172</f>
        <v>-7.0780856423173832E-2</v>
      </c>
      <c r="DQ173" s="27">
        <v>0.11370000000000002</v>
      </c>
      <c r="DR173" s="27">
        <v>2.6867542601332471E-2</v>
      </c>
      <c r="DS173" s="27">
        <v>3.2347817198611614E-2</v>
      </c>
      <c r="DT173" s="27">
        <v>3.9305854754660308E-2</v>
      </c>
      <c r="DU173" s="30">
        <v>5.5230399999999999</v>
      </c>
      <c r="DV173">
        <v>0.3</v>
      </c>
      <c r="DW173">
        <v>2.6</v>
      </c>
      <c r="DX173">
        <v>88</v>
      </c>
      <c r="DY173">
        <v>85.1</v>
      </c>
      <c r="DZ173">
        <v>2</v>
      </c>
      <c r="EA173">
        <v>1.5</v>
      </c>
      <c r="EB173">
        <v>1.913224</v>
      </c>
    </row>
    <row r="174" spans="1:132" ht="18">
      <c r="A174" s="14" t="s">
        <v>164</v>
      </c>
      <c r="B174" s="14">
        <v>4</v>
      </c>
      <c r="C174" s="14" t="s">
        <v>165</v>
      </c>
      <c r="D174" s="14" t="s">
        <v>148</v>
      </c>
      <c r="E174" s="14" t="s">
        <v>145</v>
      </c>
      <c r="F174" s="15">
        <v>175</v>
      </c>
      <c r="G174" s="15">
        <v>2.2430380486862944</v>
      </c>
      <c r="H174" s="15">
        <v>140.30000000000001</v>
      </c>
      <c r="I174" s="15">
        <v>2.5</v>
      </c>
      <c r="J174" s="16">
        <v>32.299999999999997</v>
      </c>
      <c r="K174" s="16">
        <v>1</v>
      </c>
      <c r="L174" s="17">
        <v>6.7583484913435205E-3</v>
      </c>
      <c r="M174" s="18">
        <v>100</v>
      </c>
      <c r="N174" s="18">
        <v>41</v>
      </c>
      <c r="O174" s="18">
        <v>0.66400904385077619</v>
      </c>
      <c r="P174" s="18">
        <v>2</v>
      </c>
      <c r="Q174" s="18">
        <v>2</v>
      </c>
      <c r="R174" s="18">
        <v>100</v>
      </c>
      <c r="S174" s="18">
        <v>5</v>
      </c>
      <c r="T174" s="19">
        <v>1615.8</v>
      </c>
      <c r="U174" s="19">
        <v>3.208387603795154</v>
      </c>
      <c r="V174" s="20">
        <v>21755</v>
      </c>
      <c r="W174" s="20">
        <v>4.337559087628736</v>
      </c>
      <c r="X174" s="20">
        <v>0.16494055922848305</v>
      </c>
      <c r="Y174" s="20">
        <v>3.45331522E-2</v>
      </c>
      <c r="Z174" s="20">
        <f t="shared" si="60"/>
        <v>-1.4617637772664365</v>
      </c>
      <c r="AA174" s="20">
        <v>5.2639190170000003E-2</v>
      </c>
      <c r="AB174" s="20">
        <v>72.8</v>
      </c>
      <c r="AD174" s="21">
        <v>616.6</v>
      </c>
      <c r="AE174" s="21">
        <f t="shared" si="69"/>
        <v>2.3812558170070944E-2</v>
      </c>
      <c r="AF174" s="21">
        <f t="shared" si="70"/>
        <v>2.7900035203904894</v>
      </c>
      <c r="AG174" s="22"/>
      <c r="AH174" s="22"/>
      <c r="AI174" s="22">
        <v>3.249548076</v>
      </c>
      <c r="AJ174" s="22">
        <v>131896</v>
      </c>
      <c r="AK174" s="23">
        <f t="shared" si="68"/>
        <v>5.1202316249302244</v>
      </c>
      <c r="AL174" s="24">
        <v>7.6803514000000003E-2</v>
      </c>
      <c r="AM174" s="22">
        <f>6468+14106</f>
        <v>20574</v>
      </c>
      <c r="AN174" s="22">
        <f t="shared" si="78"/>
        <v>0.79455006777658055</v>
      </c>
      <c r="AO174" s="23">
        <v>4.7665901388433365E-2</v>
      </c>
      <c r="AP174" s="33">
        <v>1.818225E-2</v>
      </c>
      <c r="AQ174" s="23">
        <v>0.25964762487721865</v>
      </c>
      <c r="AR174" s="22">
        <v>25893.9</v>
      </c>
      <c r="AS174" s="23">
        <v>4.4131974664611899</v>
      </c>
      <c r="AT174" s="23">
        <v>4.3607069892487367</v>
      </c>
      <c r="AU174" s="22">
        <v>2.6549999999999998</v>
      </c>
      <c r="AV174" s="22">
        <v>1.70020229</v>
      </c>
      <c r="AW174" s="22">
        <v>15.1</v>
      </c>
      <c r="AX174" s="22">
        <v>9.4</v>
      </c>
      <c r="AY174" s="22">
        <v>1</v>
      </c>
      <c r="AZ174" s="24">
        <v>21038.1</v>
      </c>
      <c r="BA174" s="24">
        <f t="shared" si="61"/>
        <v>4.3230065151026356</v>
      </c>
      <c r="BB174" s="24">
        <v>19659.8</v>
      </c>
      <c r="BC174" s="24">
        <f t="shared" si="62"/>
        <v>4.2935790954219462</v>
      </c>
      <c r="BD174" s="24">
        <v>1378.2999999999993</v>
      </c>
      <c r="BE174" s="22">
        <v>1002.8</v>
      </c>
      <c r="BF174" s="22">
        <f t="shared" si="79"/>
        <v>82.25</v>
      </c>
      <c r="BG174" s="23">
        <v>0.196230466420136</v>
      </c>
      <c r="BH174" s="23">
        <v>3.8727267812110187E-2</v>
      </c>
      <c r="BI174" s="23">
        <v>3.6533600627560357E-2</v>
      </c>
      <c r="BJ174" s="23">
        <v>3.4263590351493105E-3</v>
      </c>
      <c r="BK174" s="23">
        <v>6.0045195296052012E-2</v>
      </c>
      <c r="BL174" s="22">
        <v>838.3</v>
      </c>
      <c r="BM174" s="22">
        <v>1666.3</v>
      </c>
      <c r="BN174" s="22">
        <f t="shared" si="80"/>
        <v>95.800000000000068</v>
      </c>
      <c r="BO174" s="22">
        <v>3.2217531943188695</v>
      </c>
      <c r="BP174" s="22">
        <v>7.9203920506129358E-2</v>
      </c>
      <c r="BQ174" s="22">
        <v>9.1462096242974286E-3</v>
      </c>
      <c r="BR174" s="22">
        <v>3.3991781424063519E-2</v>
      </c>
      <c r="BS174" s="22">
        <v>-1370.6</v>
      </c>
      <c r="BT174" s="22">
        <v>3.1369107274813759</v>
      </c>
      <c r="BU174" s="22">
        <v>5.2931385384202452E-2</v>
      </c>
      <c r="BV174" s="23">
        <v>120.30000000000018</v>
      </c>
      <c r="BW174" s="22">
        <v>7900.5</v>
      </c>
      <c r="BX174" s="22">
        <v>23.62</v>
      </c>
      <c r="BY174" s="22">
        <v>1.3732798932774961</v>
      </c>
      <c r="BZ174" s="25">
        <v>0.64714086471408661</v>
      </c>
      <c r="CA174" s="23">
        <v>0.9444932221635417</v>
      </c>
      <c r="CB174" s="23">
        <v>94.449322216354176</v>
      </c>
      <c r="CC174" s="23">
        <v>1.9751988457014364</v>
      </c>
      <c r="CD174" s="23">
        <v>0.93141113104069884</v>
      </c>
      <c r="CE174" s="23">
        <v>0.37564522593125171</v>
      </c>
      <c r="CF174" s="23">
        <v>1.5169385194479299</v>
      </c>
      <c r="CG174" s="23">
        <f t="shared" si="63"/>
        <v>0.41669417182457774</v>
      </c>
      <c r="CH174" s="26">
        <v>12.07</v>
      </c>
      <c r="CI174" s="26">
        <v>13.29</v>
      </c>
      <c r="CJ174" s="26">
        <v>1.0817072700973491</v>
      </c>
      <c r="CK174" s="26">
        <v>1.1235249809427319</v>
      </c>
      <c r="CL174" s="26">
        <v>-9.1798344620014974E-2</v>
      </c>
      <c r="CM174" s="27">
        <v>13.248115384615385</v>
      </c>
      <c r="CN174" s="27">
        <v>-0.17355622376619531</v>
      </c>
      <c r="CQ174" s="27">
        <v>81.715444015443992</v>
      </c>
      <c r="CR174" s="27">
        <v>-0.1995865157206041</v>
      </c>
      <c r="CS174" s="27">
        <v>0.91873076923076902</v>
      </c>
      <c r="CT174" s="27">
        <v>0.9859003831417622</v>
      </c>
      <c r="CU174" s="27">
        <v>-6.8130223965370842E-2</v>
      </c>
      <c r="CV174" s="27">
        <v>1.0315769230769232</v>
      </c>
      <c r="CW174" s="27">
        <v>2.0135016181765906</v>
      </c>
      <c r="CX174" s="36">
        <v>0.94</v>
      </c>
      <c r="CY174" s="28">
        <v>1.07</v>
      </c>
      <c r="CZ174" s="29">
        <v>14.03142308</v>
      </c>
      <c r="DA174" s="27">
        <v>-0.25705803776615366</v>
      </c>
      <c r="DB174" s="27">
        <v>1.72976924253802</v>
      </c>
      <c r="DC174" s="27">
        <v>266.87708664986224</v>
      </c>
      <c r="DD174" s="27">
        <v>1</v>
      </c>
      <c r="DE174" s="27">
        <v>1.2</v>
      </c>
      <c r="DF174" s="27">
        <v>92.1</v>
      </c>
      <c r="DG174" s="28">
        <v>4.5228749432612609</v>
      </c>
      <c r="DH174" s="27">
        <v>0.93069000000000002</v>
      </c>
      <c r="DI174" s="27">
        <v>2.2000000000000002</v>
      </c>
      <c r="DJ174" s="27">
        <v>1.4</v>
      </c>
      <c r="DK174" s="27">
        <v>1.5</v>
      </c>
      <c r="DL174" s="27">
        <v>8.4498661866614921E-3</v>
      </c>
      <c r="DM174" s="27">
        <v>0.84399999999999997</v>
      </c>
      <c r="DN174" s="28">
        <v>0.79300000000000004</v>
      </c>
      <c r="DO174" s="28">
        <v>-0.167628844337147</v>
      </c>
      <c r="DP174" s="28">
        <f t="shared" si="81"/>
        <v>0.14394144754676058</v>
      </c>
      <c r="DQ174" s="27">
        <v>0.11509999999999998</v>
      </c>
      <c r="DR174" s="27">
        <v>3.2347817198611614E-2</v>
      </c>
      <c r="DS174" s="27">
        <v>2.4490842135800685E-2</v>
      </c>
      <c r="DT174" s="27">
        <v>2.6867542601332471E-2</v>
      </c>
      <c r="DU174" s="30">
        <v>5.0767810000000004</v>
      </c>
      <c r="DV174">
        <v>-0.3</v>
      </c>
      <c r="DW174">
        <v>0.7</v>
      </c>
      <c r="DX174">
        <v>90.9</v>
      </c>
      <c r="DY174">
        <v>87.4</v>
      </c>
      <c r="DZ174">
        <v>1.6</v>
      </c>
      <c r="EA174">
        <v>1</v>
      </c>
      <c r="EB174">
        <v>2.1595819999999999</v>
      </c>
    </row>
    <row r="175" spans="1:132" ht="18">
      <c r="A175" s="14" t="s">
        <v>164</v>
      </c>
      <c r="B175" s="14">
        <v>5</v>
      </c>
      <c r="C175" s="14" t="s">
        <v>165</v>
      </c>
      <c r="D175" s="14" t="s">
        <v>148</v>
      </c>
      <c r="E175" s="14" t="s">
        <v>145</v>
      </c>
      <c r="F175" s="15">
        <v>414.9</v>
      </c>
      <c r="G175" s="15">
        <v>2.6179434348289732</v>
      </c>
      <c r="H175" s="15">
        <v>101.2</v>
      </c>
      <c r="I175" s="15">
        <v>0</v>
      </c>
      <c r="J175" s="16">
        <v>313.7</v>
      </c>
      <c r="K175" s="16">
        <v>1</v>
      </c>
      <c r="L175" s="17">
        <v>8.5665440220017101E-3</v>
      </c>
      <c r="M175" s="18">
        <v>100</v>
      </c>
      <c r="N175" s="18">
        <v>41</v>
      </c>
      <c r="O175" s="18">
        <v>0.66400904385077619</v>
      </c>
      <c r="P175" s="18">
        <v>2</v>
      </c>
      <c r="Q175" s="18">
        <v>2</v>
      </c>
      <c r="R175" s="18">
        <v>100</v>
      </c>
      <c r="S175" s="18">
        <v>5</v>
      </c>
      <c r="T175" s="19">
        <v>2019.1</v>
      </c>
      <c r="U175" s="19">
        <v>3.3051578287864856</v>
      </c>
      <c r="V175" s="20">
        <v>19618</v>
      </c>
      <c r="W175" s="20">
        <v>4.2926547301979863</v>
      </c>
      <c r="X175" s="20">
        <v>0.14162166844734486</v>
      </c>
      <c r="Y175" s="20">
        <v>1.126568778E-2</v>
      </c>
      <c r="Z175" s="20">
        <f t="shared" si="60"/>
        <v>-1.9482422890763547</v>
      </c>
      <c r="AA175" s="20">
        <v>3.5559556630000003E-2</v>
      </c>
      <c r="AB175" s="20">
        <v>63.2</v>
      </c>
      <c r="AD175" s="21">
        <v>582.70000000000005</v>
      </c>
      <c r="AE175" s="21">
        <f t="shared" si="69"/>
        <v>1.2031152570789098E-2</v>
      </c>
      <c r="AF175" s="21">
        <f t="shared" si="70"/>
        <v>2.76544501809015</v>
      </c>
      <c r="AG175" s="22"/>
      <c r="AH175" s="22"/>
      <c r="AI175" s="22">
        <v>2.8195700719999999</v>
      </c>
      <c r="AJ175" s="22">
        <v>138524</v>
      </c>
      <c r="AK175" s="23">
        <f t="shared" si="68"/>
        <v>5.1415250236863033</v>
      </c>
      <c r="AL175" s="24">
        <v>7.8765559999999998E-2</v>
      </c>
      <c r="AM175" s="22">
        <f>21311.8+17505</f>
        <v>38816.800000000003</v>
      </c>
      <c r="AN175" s="22">
        <f t="shared" si="78"/>
        <v>0.80146017351948906</v>
      </c>
      <c r="AO175" s="23">
        <v>5.5866553797060965E-2</v>
      </c>
      <c r="AP175" s="33">
        <v>1.9736066E-2</v>
      </c>
      <c r="AQ175" s="23">
        <v>0.29526058882196532</v>
      </c>
      <c r="AR175" s="22">
        <v>48432.6</v>
      </c>
      <c r="AS175" s="23">
        <v>4.6851377838378667</v>
      </c>
      <c r="AT175" s="23">
        <v>4.4131974664611899</v>
      </c>
      <c r="AU175" s="22">
        <v>3.036</v>
      </c>
      <c r="AV175" s="22">
        <v>2.5651207899999999</v>
      </c>
      <c r="AW175" s="22">
        <v>25</v>
      </c>
      <c r="AX175" s="22">
        <v>15.1</v>
      </c>
      <c r="AY175" s="22">
        <v>1</v>
      </c>
      <c r="AZ175" s="24">
        <v>25634.3</v>
      </c>
      <c r="BA175" s="24">
        <f t="shared" si="61"/>
        <v>4.408821462588274</v>
      </c>
      <c r="BB175" s="24">
        <v>23273.3</v>
      </c>
      <c r="BC175" s="24">
        <f t="shared" si="62"/>
        <v>4.3668579677378832</v>
      </c>
      <c r="BD175" s="24">
        <v>2361</v>
      </c>
      <c r="BE175" s="22">
        <v>1432.1</v>
      </c>
      <c r="BF175" s="22">
        <f t="shared" si="79"/>
        <v>214.65000000000066</v>
      </c>
      <c r="BG175" s="23">
        <v>0.42810131631431986</v>
      </c>
      <c r="BH175" s="23">
        <v>2.9568926714650876E-2</v>
      </c>
      <c r="BI175" s="23">
        <v>3.8727267812110187E-2</v>
      </c>
      <c r="BJ175" s="23">
        <v>3.4263590351493105E-3</v>
      </c>
      <c r="BK175" s="23">
        <v>-0.23648301609842609</v>
      </c>
      <c r="BL175" s="22">
        <v>1002.8</v>
      </c>
      <c r="BM175" s="22">
        <v>2491.6</v>
      </c>
      <c r="BN175" s="22">
        <f t="shared" si="80"/>
        <v>412.65000000000106</v>
      </c>
      <c r="BO175" s="22">
        <v>3.3964783222021033</v>
      </c>
      <c r="BP175" s="22">
        <v>9.7197895007860566E-2</v>
      </c>
      <c r="BQ175" s="22">
        <v>8.996987250865604E-3</v>
      </c>
      <c r="BR175" s="22">
        <v>9.1462096242974286E-3</v>
      </c>
      <c r="BS175" s="22">
        <v>-10384.1</v>
      </c>
      <c r="BT175" s="22">
        <v>4.016368861779009</v>
      </c>
      <c r="BU175" s="22">
        <v>0.21440310864995893</v>
      </c>
      <c r="BV175" s="23">
        <v>2177.3000000000002</v>
      </c>
      <c r="BW175" s="22">
        <v>22743.9</v>
      </c>
      <c r="BX175" s="22">
        <v>33.57</v>
      </c>
      <c r="BY175" s="22">
        <v>1.5259513412480126</v>
      </c>
      <c r="BZ175" s="25">
        <v>0.42125317527519046</v>
      </c>
      <c r="CA175" s="23">
        <v>0.37564522593125171</v>
      </c>
      <c r="CB175" s="23">
        <v>37.564522593125169</v>
      </c>
      <c r="CC175" s="23">
        <v>1.5747778737697105</v>
      </c>
      <c r="CD175" s="23">
        <v>0.9444932221635417</v>
      </c>
      <c r="CE175" s="23">
        <v>0.47406076045232548</v>
      </c>
      <c r="CF175" s="23">
        <v>1.4494611127293913</v>
      </c>
      <c r="CG175" s="23">
        <f t="shared" si="63"/>
        <v>0.37119184096132335</v>
      </c>
      <c r="CH175" s="26">
        <v>11.56</v>
      </c>
      <c r="CI175" s="26">
        <v>12.07</v>
      </c>
      <c r="CJ175" s="26">
        <v>1.0629578340845103</v>
      </c>
      <c r="CK175" s="26">
        <v>1.0817072700973491</v>
      </c>
      <c r="CL175" s="26">
        <v>-4.2253521126760542E-2</v>
      </c>
      <c r="CM175" s="27">
        <v>13.296884615384608</v>
      </c>
      <c r="CN175" s="27">
        <v>3.681220260646025E-3</v>
      </c>
      <c r="CQ175" s="27">
        <v>67.989575289575299</v>
      </c>
      <c r="CR175" s="27">
        <v>-0.167971536975</v>
      </c>
      <c r="CS175" s="27">
        <v>0.84238461538461584</v>
      </c>
      <c r="CT175" s="27">
        <v>0.91873076923076902</v>
      </c>
      <c r="CU175" s="27">
        <v>-8.3099593921379125E-2</v>
      </c>
      <c r="CV175" s="27">
        <v>0.92230769230769172</v>
      </c>
      <c r="CW175" s="27">
        <v>1.9648758307920116</v>
      </c>
      <c r="CX175" s="36">
        <v>0.56000000000000005</v>
      </c>
      <c r="CY175" s="28">
        <v>0.94</v>
      </c>
      <c r="CZ175" s="29">
        <v>16.52657692</v>
      </c>
      <c r="DA175" s="27">
        <v>0.17782614249273998</v>
      </c>
      <c r="DB175" s="27">
        <v>1.322681365714484</v>
      </c>
      <c r="DC175" s="27">
        <v>1.72976924253802</v>
      </c>
      <c r="DD175" s="27">
        <v>1</v>
      </c>
      <c r="DE175" s="27">
        <v>0.7</v>
      </c>
      <c r="DF175" s="27">
        <v>94.1</v>
      </c>
      <c r="DG175" s="28">
        <v>4.5443580465913342</v>
      </c>
      <c r="DH175" s="27">
        <v>0.94418000000000002</v>
      </c>
      <c r="DI175" s="27">
        <v>1.9</v>
      </c>
      <c r="DJ175" s="27">
        <v>1.6</v>
      </c>
      <c r="DK175" s="27">
        <v>1.8</v>
      </c>
      <c r="DL175" s="27">
        <v>7.6672365931182819E-3</v>
      </c>
      <c r="DM175" s="27">
        <v>0.75770000000000004</v>
      </c>
      <c r="DN175" s="28">
        <v>0.74250000000000005</v>
      </c>
      <c r="DO175" s="28">
        <v>-6.3682219419924316E-2</v>
      </c>
      <c r="DP175" s="28">
        <f t="shared" si="81"/>
        <v>-0.10225118483412314</v>
      </c>
      <c r="DQ175" s="27">
        <v>9.7799999999999998E-2</v>
      </c>
      <c r="DR175" s="27">
        <v>2.4490842135800685E-2</v>
      </c>
      <c r="DS175" s="27">
        <v>2.77430650961079E-2</v>
      </c>
      <c r="DT175" s="27">
        <v>3.2347817198611614E-2</v>
      </c>
      <c r="DU175" s="30">
        <v>4.6174650000000002</v>
      </c>
      <c r="DV175">
        <v>-0.5</v>
      </c>
      <c r="DW175">
        <v>-0.4</v>
      </c>
      <c r="DX175">
        <v>93.7</v>
      </c>
      <c r="DY175">
        <v>89.8</v>
      </c>
      <c r="DZ175">
        <v>1.6</v>
      </c>
      <c r="EA175">
        <v>1.7</v>
      </c>
      <c r="EB175">
        <v>2.2385109999999999</v>
      </c>
    </row>
    <row r="176" spans="1:132" ht="18">
      <c r="A176" s="14" t="s">
        <v>164</v>
      </c>
      <c r="B176" s="14">
        <v>6</v>
      </c>
      <c r="C176" s="14" t="s">
        <v>165</v>
      </c>
      <c r="D176" s="14" t="s">
        <v>148</v>
      </c>
      <c r="E176" s="14" t="s">
        <v>145</v>
      </c>
      <c r="F176" s="15">
        <v>555.29999999999995</v>
      </c>
      <c r="G176" s="15">
        <v>2.7445276734725663</v>
      </c>
      <c r="H176" s="15">
        <v>219.5</v>
      </c>
      <c r="I176" s="15">
        <v>1.2</v>
      </c>
      <c r="J176" s="16">
        <v>337</v>
      </c>
      <c r="K176" s="16">
        <v>1</v>
      </c>
      <c r="L176" s="17">
        <v>1.1155709843060678E-2</v>
      </c>
      <c r="M176" s="18">
        <v>100</v>
      </c>
      <c r="N176" s="18">
        <v>41</v>
      </c>
      <c r="O176" s="18">
        <v>0.66400904385077619</v>
      </c>
      <c r="P176" s="18">
        <v>2</v>
      </c>
      <c r="Q176" s="18">
        <v>2</v>
      </c>
      <c r="R176" s="18">
        <v>100</v>
      </c>
      <c r="S176" s="18">
        <v>5</v>
      </c>
      <c r="T176" s="19">
        <v>2671.2</v>
      </c>
      <c r="U176" s="19">
        <v>3.4267064060463142</v>
      </c>
      <c r="V176" s="20">
        <v>22535</v>
      </c>
      <c r="W176" s="20">
        <v>4.3528575624069967</v>
      </c>
      <c r="X176" s="20">
        <v>0.14206193105882947</v>
      </c>
      <c r="Y176" s="20">
        <v>2.1425286290000001E-2</v>
      </c>
      <c r="Z176" s="20">
        <f t="shared" si="60"/>
        <v>-1.6690733662151946</v>
      </c>
      <c r="AA176" s="20">
        <v>8.681262729E-2</v>
      </c>
      <c r="AB176" s="20">
        <v>170.5</v>
      </c>
      <c r="AD176" s="21">
        <v>525.79999999999995</v>
      </c>
      <c r="AE176" s="21">
        <f t="shared" si="69"/>
        <v>1.0563069035622735E-2</v>
      </c>
      <c r="AF176" s="21">
        <f t="shared" si="70"/>
        <v>2.7208205817703437</v>
      </c>
      <c r="AG176" s="22">
        <v>6.0268556688604423E-4</v>
      </c>
      <c r="AH176" s="22">
        <v>30</v>
      </c>
      <c r="AI176" s="22">
        <v>2.9724780380000002</v>
      </c>
      <c r="AJ176" s="22">
        <v>158628</v>
      </c>
      <c r="AK176" s="23">
        <f t="shared" si="68"/>
        <v>5.2003798486323145</v>
      </c>
      <c r="AL176" s="24">
        <v>8.6518560999999994E-2</v>
      </c>
      <c r="AM176" s="22">
        <f>22136+19526</f>
        <v>41662</v>
      </c>
      <c r="AN176" s="22">
        <f t="shared" si="78"/>
        <v>0.83696953625354586</v>
      </c>
      <c r="AO176" s="23">
        <v>5.1107231580958923E-2</v>
      </c>
      <c r="AP176" s="33">
        <v>2.5736539999999999E-2</v>
      </c>
      <c r="AQ176" s="23">
        <v>0.41055016028744346</v>
      </c>
      <c r="AR176" s="22">
        <v>49777.2</v>
      </c>
      <c r="AS176" s="23">
        <v>4.6970304636114699</v>
      </c>
      <c r="AT176" s="23">
        <v>4.6851377838378667</v>
      </c>
      <c r="AU176" s="22">
        <v>3.714</v>
      </c>
      <c r="AV176" s="22">
        <v>3.0710077230000001</v>
      </c>
      <c r="AW176" s="22">
        <v>22.4</v>
      </c>
      <c r="AX176" s="22">
        <v>25</v>
      </c>
      <c r="AY176" s="22">
        <v>1</v>
      </c>
      <c r="AZ176" s="24">
        <v>30874.3</v>
      </c>
      <c r="BA176" s="24">
        <f t="shared" si="61"/>
        <v>4.4895971198034754</v>
      </c>
      <c r="BB176" s="24">
        <v>27995.7</v>
      </c>
      <c r="BC176" s="24">
        <f t="shared" si="62"/>
        <v>4.4470913309964475</v>
      </c>
      <c r="BD176" s="24">
        <v>2878.5999999999985</v>
      </c>
      <c r="BE176" s="22">
        <v>1577.9</v>
      </c>
      <c r="BF176" s="22">
        <f t="shared" si="79"/>
        <v>72.900000000000091</v>
      </c>
      <c r="BG176" s="23">
        <v>0.10180853292367864</v>
      </c>
      <c r="BH176" s="23">
        <v>3.1699251866316308E-2</v>
      </c>
      <c r="BI176" s="23">
        <v>2.9568926714650876E-2</v>
      </c>
      <c r="BJ176" s="23">
        <v>3.4263590351493105E-3</v>
      </c>
      <c r="BK176" s="23">
        <v>7.2046076349801855E-2</v>
      </c>
      <c r="BL176" s="22">
        <v>1432.1</v>
      </c>
      <c r="BM176" s="22">
        <v>3581.7</v>
      </c>
      <c r="BN176" s="22">
        <f t="shared" si="80"/>
        <v>545.05000000000121</v>
      </c>
      <c r="BO176" s="22">
        <v>3.5540892069175811</v>
      </c>
      <c r="BP176" s="22">
        <v>0.11600910789880256</v>
      </c>
      <c r="BQ176" s="22">
        <v>9.4056064454709973E-3</v>
      </c>
      <c r="BR176" s="22">
        <v>8.996987250865604E-3</v>
      </c>
      <c r="BS176" s="22">
        <v>-3665.7</v>
      </c>
      <c r="BT176" s="22">
        <v>3.5641569195253227</v>
      </c>
      <c r="BU176" s="22">
        <v>7.3642149417805738E-2</v>
      </c>
      <c r="BV176" s="23">
        <v>4459.3999999999996</v>
      </c>
      <c r="BW176" s="22">
        <v>23142.5</v>
      </c>
      <c r="BX176" s="22">
        <v>36.54</v>
      </c>
      <c r="BY176" s="22">
        <v>1.562768543016519</v>
      </c>
      <c r="BZ176" s="25">
        <v>8.8471849865951704E-2</v>
      </c>
      <c r="CA176" s="23">
        <v>0.47406076045232548</v>
      </c>
      <c r="CB176" s="23">
        <v>47.406076045232545</v>
      </c>
      <c r="CC176" s="23">
        <v>1.6758340088428991</v>
      </c>
      <c r="CD176" s="23">
        <v>0.37564522593125171</v>
      </c>
      <c r="CE176" s="23">
        <v>1.0780204005828238</v>
      </c>
      <c r="CF176" s="23">
        <v>1.3671754036717541</v>
      </c>
      <c r="CG176" s="23">
        <f t="shared" si="63"/>
        <v>0.3127468623646682</v>
      </c>
      <c r="CH176" s="26">
        <v>22.5</v>
      </c>
      <c r="CI176" s="26">
        <v>11.56</v>
      </c>
      <c r="CJ176" s="26">
        <v>1.3521825181113625</v>
      </c>
      <c r="CK176" s="26">
        <v>1.0629578340845103</v>
      </c>
      <c r="CL176" s="26">
        <v>0.94636678200692037</v>
      </c>
      <c r="CM176" s="27">
        <v>18.34360153256705</v>
      </c>
      <c r="CN176" s="27">
        <v>0.37954130333231201</v>
      </c>
      <c r="CQ176" s="27">
        <v>77.833846153846167</v>
      </c>
      <c r="CR176" s="27">
        <v>0.14479088628430173</v>
      </c>
      <c r="CS176" s="27">
        <v>0.72605363984674265</v>
      </c>
      <c r="CT176" s="27">
        <v>0.84238461538461584</v>
      </c>
      <c r="CU176" s="27">
        <v>-0.13809722235342442</v>
      </c>
      <c r="CV176" s="27">
        <v>0.78180076628352502</v>
      </c>
      <c r="CW176" s="27">
        <v>1.8930960917710087</v>
      </c>
      <c r="CX176" s="36">
        <v>0.88</v>
      </c>
      <c r="CY176" s="28">
        <v>0.56000000000000005</v>
      </c>
      <c r="CZ176" s="29">
        <v>19.614636019999999</v>
      </c>
      <c r="DA176" s="27">
        <v>0.18685412683753744</v>
      </c>
      <c r="DB176" s="27">
        <v>2.3607257116750975</v>
      </c>
      <c r="DC176" s="27">
        <v>1.322681365714484</v>
      </c>
      <c r="DD176" s="27">
        <v>1</v>
      </c>
      <c r="DE176" s="27">
        <v>0</v>
      </c>
      <c r="DF176" s="27">
        <v>96.5</v>
      </c>
      <c r="DG176" s="28">
        <v>4.5695430083449402</v>
      </c>
      <c r="DH176" s="27">
        <v>0.95938999999999997</v>
      </c>
      <c r="DI176" s="27">
        <v>1.9</v>
      </c>
      <c r="DJ176" s="27">
        <v>1.7</v>
      </c>
      <c r="DK176" s="27">
        <v>1.8</v>
      </c>
      <c r="DL176" s="27">
        <v>1.679984422560547E-2</v>
      </c>
      <c r="DM176" s="27">
        <v>0.6855</v>
      </c>
      <c r="DN176" s="28">
        <v>0.84760000000000002</v>
      </c>
      <c r="DO176" s="28">
        <v>0.14154882154882151</v>
      </c>
      <c r="DP176" s="28">
        <f t="shared" si="81"/>
        <v>-9.5288372706876123E-2</v>
      </c>
      <c r="DQ176" s="27">
        <v>0.10279999999999989</v>
      </c>
      <c r="DR176" s="27">
        <v>2.77430650961079E-2</v>
      </c>
      <c r="DS176" s="27">
        <v>5.0662060808238797E-2</v>
      </c>
      <c r="DT176" s="27">
        <v>2.4490842135800685E-2</v>
      </c>
      <c r="DU176" s="30">
        <v>4.6191050000000002</v>
      </c>
      <c r="DV176">
        <v>-0.9</v>
      </c>
      <c r="DW176">
        <v>-0.7</v>
      </c>
      <c r="DX176">
        <v>96.2</v>
      </c>
      <c r="DY176">
        <v>92.4</v>
      </c>
      <c r="DZ176">
        <v>2.1</v>
      </c>
      <c r="EA176">
        <v>1.9</v>
      </c>
      <c r="EB176">
        <v>2.1588159999999998</v>
      </c>
    </row>
    <row r="177" spans="1:132" ht="18">
      <c r="A177" s="14" t="s">
        <v>164</v>
      </c>
      <c r="B177" s="14">
        <v>7</v>
      </c>
      <c r="C177" s="14" t="s">
        <v>165</v>
      </c>
      <c r="D177" s="14" t="s">
        <v>148</v>
      </c>
      <c r="E177" s="14" t="s">
        <v>145</v>
      </c>
      <c r="F177" s="15">
        <v>519.5</v>
      </c>
      <c r="G177" s="15">
        <v>2.7155855518931964</v>
      </c>
      <c r="H177" s="15">
        <v>490.4</v>
      </c>
      <c r="I177" s="15">
        <v>5.8</v>
      </c>
      <c r="J177" s="16">
        <v>92.5</v>
      </c>
      <c r="K177" s="16">
        <v>1</v>
      </c>
      <c r="L177" s="17">
        <v>1.0030467908295072E-2</v>
      </c>
      <c r="M177" s="18">
        <v>100</v>
      </c>
      <c r="N177" s="18">
        <v>41</v>
      </c>
      <c r="O177" s="18">
        <v>0.66400904385077619</v>
      </c>
      <c r="P177" s="18">
        <v>2</v>
      </c>
      <c r="Q177" s="18">
        <v>2</v>
      </c>
      <c r="R177" s="18">
        <v>100</v>
      </c>
      <c r="S177" s="18">
        <v>5</v>
      </c>
      <c r="T177" s="19">
        <v>3564.9</v>
      </c>
      <c r="U177" s="19">
        <v>3.5520473518436178</v>
      </c>
      <c r="V177" s="20">
        <v>25043</v>
      </c>
      <c r="W177" s="20">
        <v>4.398686353508193</v>
      </c>
      <c r="X177" s="20">
        <v>0.15264816496705413</v>
      </c>
      <c r="Y177" s="20">
        <v>2.957614536E-2</v>
      </c>
      <c r="Z177" s="20">
        <f t="shared" si="60"/>
        <v>-1.5290584279715078</v>
      </c>
      <c r="AA177" s="20">
        <v>0.1193267776</v>
      </c>
      <c r="AB177" s="20">
        <v>252.4</v>
      </c>
      <c r="AD177" s="21">
        <v>223.3</v>
      </c>
      <c r="AE177" s="21">
        <f t="shared" si="69"/>
        <v>4.3114600267994026E-3</v>
      </c>
      <c r="AF177" s="21">
        <f t="shared" si="70"/>
        <v>2.3488887230714379</v>
      </c>
      <c r="AG177" s="22">
        <v>5.7923780028652967E-4</v>
      </c>
      <c r="AH177" s="22">
        <v>30</v>
      </c>
      <c r="AI177" s="22">
        <v>1.781366902</v>
      </c>
      <c r="AJ177" s="22">
        <v>164057</v>
      </c>
      <c r="AK177" s="23">
        <f t="shared" si="68"/>
        <v>5.2149947656365168</v>
      </c>
      <c r="AL177" s="24">
        <v>0.105065384</v>
      </c>
      <c r="AM177" s="22">
        <f>21270+21495</f>
        <v>42765</v>
      </c>
      <c r="AN177" s="22">
        <f t="shared" si="78"/>
        <v>0.82570348430844809</v>
      </c>
      <c r="AO177" s="23">
        <v>5.0076185592228768E-2</v>
      </c>
      <c r="AP177" s="33">
        <v>4.0435066999999998E-2</v>
      </c>
      <c r="AQ177" s="23">
        <v>0.60675816706345653</v>
      </c>
      <c r="AR177" s="22">
        <v>51792.2</v>
      </c>
      <c r="AS177" s="23">
        <v>4.7142643591269389</v>
      </c>
      <c r="AT177" s="23">
        <v>4.6970304636114699</v>
      </c>
      <c r="AU177" s="22">
        <v>3.3130000000000002</v>
      </c>
      <c r="AV177" s="22">
        <v>2.7628644379999998</v>
      </c>
      <c r="AW177" s="22">
        <v>15</v>
      </c>
      <c r="AX177" s="22">
        <v>22.4</v>
      </c>
      <c r="AY177" s="22">
        <v>1</v>
      </c>
      <c r="AZ177" s="24">
        <v>33930.300000000003</v>
      </c>
      <c r="BA177" s="24">
        <f t="shared" si="61"/>
        <v>4.530587699543986</v>
      </c>
      <c r="BB177" s="24">
        <v>30768.7</v>
      </c>
      <c r="BC177" s="24">
        <f t="shared" si="62"/>
        <v>4.4881091473766972</v>
      </c>
      <c r="BD177" s="24">
        <v>3161.6000000000022</v>
      </c>
      <c r="BE177" s="22">
        <v>1699.1</v>
      </c>
      <c r="BF177" s="22">
        <f t="shared" si="79"/>
        <v>60.599999999999909</v>
      </c>
      <c r="BG177" s="23">
        <v>7.6810951264338553E-2</v>
      </c>
      <c r="BH177" s="23">
        <v>3.2806098215561415E-2</v>
      </c>
      <c r="BI177" s="23">
        <v>3.1699251866316308E-2</v>
      </c>
      <c r="BJ177" s="23">
        <v>3.4263590351493105E-3</v>
      </c>
      <c r="BK177" s="23">
        <v>3.4917112678651066E-2</v>
      </c>
      <c r="BL177" s="22">
        <v>1577.9</v>
      </c>
      <c r="BM177" s="22">
        <v>4140.8999999999996</v>
      </c>
      <c r="BN177" s="22">
        <f t="shared" si="80"/>
        <v>279.59999999999991</v>
      </c>
      <c r="BO177" s="22">
        <v>3.6170947427041211</v>
      </c>
      <c r="BP177" s="22">
        <v>0.12204136126117363</v>
      </c>
      <c r="BQ177" s="22">
        <v>3.0161266811855325E-3</v>
      </c>
      <c r="BR177" s="22">
        <v>9.4056064454709973E-3</v>
      </c>
      <c r="BS177" s="22">
        <v>-2322.4</v>
      </c>
      <c r="BT177" s="22">
        <v>3.3659370228236174</v>
      </c>
      <c r="BU177" s="22">
        <v>4.4840728912847884E-2</v>
      </c>
      <c r="BV177" s="23">
        <v>3160.6</v>
      </c>
      <c r="BW177" s="22">
        <v>23264.7</v>
      </c>
      <c r="BX177" s="22">
        <v>22.47</v>
      </c>
      <c r="BY177" s="22">
        <v>1.3516030724191288</v>
      </c>
      <c r="BZ177" s="25">
        <v>-0.38505747126436785</v>
      </c>
      <c r="CA177" s="23">
        <v>1.0780204005828238</v>
      </c>
      <c r="CB177" s="23">
        <v>107.80204005828237</v>
      </c>
      <c r="CC177" s="23">
        <v>2.032626979567524</v>
      </c>
      <c r="CD177" s="23">
        <v>0.47406076045232548</v>
      </c>
      <c r="CE177" s="23">
        <v>1.1357531911581438</v>
      </c>
      <c r="CF177" s="23">
        <v>2.3569101907864125</v>
      </c>
      <c r="CG177" s="23">
        <f t="shared" si="63"/>
        <v>0.85735152004027337</v>
      </c>
      <c r="CH177" s="26">
        <v>40</v>
      </c>
      <c r="CI177" s="26">
        <v>22.5</v>
      </c>
      <c r="CJ177" s="26">
        <v>1.6020599913279623</v>
      </c>
      <c r="CK177" s="26">
        <v>1.3521825181113625</v>
      </c>
      <c r="CL177" s="26">
        <v>0.77777777777777779</v>
      </c>
      <c r="CM177" s="27">
        <v>34.430804597701169</v>
      </c>
      <c r="CN177" s="27">
        <v>0.87699261437690179</v>
      </c>
      <c r="CO177" s="27">
        <v>14.00272</v>
      </c>
      <c r="CQ177" s="27">
        <v>141.16230769230771</v>
      </c>
      <c r="CR177" s="27">
        <v>0.81363654332700808</v>
      </c>
      <c r="CS177" s="27">
        <v>1.4151340996168575</v>
      </c>
      <c r="CT177" s="27">
        <v>0.72605363984674265</v>
      </c>
      <c r="CU177" s="27">
        <v>0.94907651715039654</v>
      </c>
      <c r="CV177" s="27">
        <v>1.549389312977099</v>
      </c>
      <c r="CW177" s="27">
        <v>2.1901605560639821</v>
      </c>
      <c r="CX177" s="36">
        <v>2.34</v>
      </c>
      <c r="CY177" s="28">
        <v>0.88</v>
      </c>
      <c r="CZ177" s="29">
        <v>33.709007630000002</v>
      </c>
      <c r="DA177" s="27">
        <v>0.71856401493398725</v>
      </c>
      <c r="DB177" s="27">
        <v>3.1430399491928545</v>
      </c>
      <c r="DC177" s="27">
        <v>2.3607257116750975</v>
      </c>
      <c r="DD177" s="27">
        <v>1</v>
      </c>
      <c r="DE177" s="27">
        <v>-0.4</v>
      </c>
      <c r="DF177" s="27">
        <v>98.8</v>
      </c>
      <c r="DG177" s="28">
        <v>4.5930976047538223</v>
      </c>
      <c r="DH177" s="27">
        <v>0.97638000000000003</v>
      </c>
      <c r="DI177" s="27">
        <v>1.8</v>
      </c>
      <c r="DJ177" s="27">
        <v>1.8</v>
      </c>
      <c r="DK177" s="27">
        <v>2</v>
      </c>
      <c r="DL177" s="27">
        <v>4.1965997035105826E-2</v>
      </c>
      <c r="DM177" s="27">
        <v>0.71560000000000001</v>
      </c>
      <c r="DN177" s="28">
        <v>0.75849999999999995</v>
      </c>
      <c r="DO177" s="28">
        <v>-0.10512033978291654</v>
      </c>
      <c r="DP177" s="28">
        <f t="shared" si="81"/>
        <v>4.3909555069292512E-2</v>
      </c>
      <c r="DQ177" s="27">
        <v>0.17789999999999995</v>
      </c>
      <c r="DR177" s="27">
        <v>5.0662060808238797E-2</v>
      </c>
      <c r="DS177" s="27">
        <v>3.802148779895468E-2</v>
      </c>
      <c r="DT177" s="27">
        <v>2.77430650961079E-2</v>
      </c>
      <c r="DU177" s="30">
        <v>5.7984980000000004</v>
      </c>
      <c r="DV177">
        <v>-1</v>
      </c>
      <c r="DW177">
        <v>0.7</v>
      </c>
      <c r="DX177">
        <v>98</v>
      </c>
      <c r="DY177">
        <v>95</v>
      </c>
      <c r="DZ177">
        <v>1.6</v>
      </c>
      <c r="EA177">
        <v>1.7</v>
      </c>
      <c r="EB177">
        <v>2.0603549999999999</v>
      </c>
    </row>
    <row r="178" spans="1:132" ht="18">
      <c r="A178" s="14" t="s">
        <v>164</v>
      </c>
      <c r="B178" s="14">
        <v>8</v>
      </c>
      <c r="C178" s="14" t="s">
        <v>165</v>
      </c>
      <c r="D178" s="14" t="s">
        <v>148</v>
      </c>
      <c r="E178" s="14" t="s">
        <v>145</v>
      </c>
      <c r="F178" s="15">
        <v>329.2</v>
      </c>
      <c r="G178" s="15">
        <v>2.5174598265402324</v>
      </c>
      <c r="H178" s="15">
        <v>175.7</v>
      </c>
      <c r="I178" s="15">
        <v>55.2</v>
      </c>
      <c r="J178" s="16">
        <v>57.5</v>
      </c>
      <c r="K178" s="16">
        <v>1</v>
      </c>
      <c r="L178" s="17">
        <v>6.4576496273904774E-3</v>
      </c>
      <c r="M178" s="18">
        <v>100</v>
      </c>
      <c r="N178" s="18">
        <v>41</v>
      </c>
      <c r="O178" s="18">
        <v>0.66400904385077619</v>
      </c>
      <c r="P178" s="18">
        <v>2</v>
      </c>
      <c r="Q178" s="18">
        <v>2</v>
      </c>
      <c r="R178" s="18">
        <v>100</v>
      </c>
      <c r="S178" s="18">
        <v>5</v>
      </c>
      <c r="T178" s="19">
        <v>3691</v>
      </c>
      <c r="U178" s="19">
        <v>3.5671440451956573</v>
      </c>
      <c r="V178" s="20">
        <v>22545</v>
      </c>
      <c r="W178" s="20">
        <v>4.353050239642589</v>
      </c>
      <c r="X178" s="20">
        <v>0.14595917416046769</v>
      </c>
      <c r="Y178" s="20"/>
      <c r="Z178" s="20"/>
      <c r="AA178" s="20">
        <v>1.4537092579999999E-2</v>
      </c>
      <c r="AB178" s="20">
        <v>363.5</v>
      </c>
      <c r="AD178" s="21">
        <v>525.79999999999995</v>
      </c>
      <c r="AE178" s="21">
        <f t="shared" si="69"/>
        <v>1.0314192509361825E-2</v>
      </c>
      <c r="AF178" s="21">
        <f t="shared" si="70"/>
        <v>2.7208205817703437</v>
      </c>
      <c r="AG178" s="22">
        <v>6.3752616309292384E-4</v>
      </c>
      <c r="AH178" s="22">
        <v>32.5</v>
      </c>
      <c r="AI178" s="22">
        <v>2.089555281</v>
      </c>
      <c r="AJ178" s="22">
        <v>154461</v>
      </c>
      <c r="AK178" s="23">
        <f t="shared" si="68"/>
        <v>5.1888188421887182</v>
      </c>
      <c r="AL178" s="24">
        <v>0.12006805299999999</v>
      </c>
      <c r="AM178" s="22">
        <f>21166+19344</f>
        <v>40510</v>
      </c>
      <c r="AN178" s="22">
        <f t="shared" si="78"/>
        <v>0.79465184205828754</v>
      </c>
      <c r="AO178" s="23">
        <v>5.5408267161989398E-2</v>
      </c>
      <c r="AP178" s="33">
        <v>1.4762178000000001E-2</v>
      </c>
      <c r="AQ178" s="23">
        <v>0.169150437676723</v>
      </c>
      <c r="AR178" s="22">
        <v>50978.3</v>
      </c>
      <c r="AS178" s="23">
        <v>4.7073853487297699</v>
      </c>
      <c r="AT178" s="23">
        <v>4.7142643591269389</v>
      </c>
      <c r="AU178" s="22">
        <v>2.64</v>
      </c>
      <c r="AV178" s="22">
        <v>2.170630026</v>
      </c>
      <c r="AW178" s="22">
        <v>20.5</v>
      </c>
      <c r="AX178" s="22">
        <v>15</v>
      </c>
      <c r="AY178" s="22">
        <v>1</v>
      </c>
      <c r="AZ178" s="24">
        <v>30740.9</v>
      </c>
      <c r="BA178" s="24">
        <f t="shared" si="61"/>
        <v>4.4877165781706223</v>
      </c>
      <c r="BB178" s="24">
        <v>28270.400000000001</v>
      </c>
      <c r="BC178" s="24">
        <f t="shared" si="62"/>
        <v>4.4513319533980367</v>
      </c>
      <c r="BD178" s="24">
        <v>2470.5</v>
      </c>
      <c r="BE178" s="22">
        <v>1703.3</v>
      </c>
      <c r="BF178" s="22">
        <f t="shared" si="79"/>
        <v>2.1000000000000227</v>
      </c>
      <c r="BG178" s="23">
        <v>2.4718968865870437E-3</v>
      </c>
      <c r="BH178" s="23">
        <v>3.3412255802959298E-2</v>
      </c>
      <c r="BI178" s="23">
        <v>3.2806098215561415E-2</v>
      </c>
      <c r="BJ178" s="23">
        <v>3.4263590351493105E-3</v>
      </c>
      <c r="BK178" s="23">
        <v>1.8476978987716237E-2</v>
      </c>
      <c r="BL178" s="22">
        <v>1699.1</v>
      </c>
      <c r="BM178" s="22">
        <v>3935.1</v>
      </c>
      <c r="BN178" s="22">
        <f t="shared" si="80"/>
        <v>102.89999999999986</v>
      </c>
      <c r="BO178" s="22">
        <v>3.5949557732634099</v>
      </c>
      <c r="BP178" s="22">
        <v>0.12800861393127722</v>
      </c>
      <c r="BQ178" s="22">
        <v>2.983626335051795E-3</v>
      </c>
      <c r="BR178" s="22">
        <v>3.0161266811855325E-3</v>
      </c>
      <c r="BS178" s="22">
        <v>-1787.1</v>
      </c>
      <c r="BT178" s="22">
        <v>3.2521488548185071</v>
      </c>
      <c r="BU178" s="22">
        <v>3.5056092494257354E-2</v>
      </c>
      <c r="BV178" s="23">
        <v>3536.7</v>
      </c>
      <c r="BW178" s="22">
        <v>21295.4</v>
      </c>
      <c r="BX178" s="22">
        <v>30.94</v>
      </c>
      <c r="BY178" s="22">
        <v>1.4905203093633488</v>
      </c>
      <c r="BZ178" s="25">
        <v>0.37694704049844252</v>
      </c>
      <c r="CA178" s="23">
        <v>1.1357531911581438</v>
      </c>
      <c r="CB178" s="23">
        <v>113.57531911581438</v>
      </c>
      <c r="CC178" s="23">
        <v>2.0552839657379742</v>
      </c>
      <c r="CD178" s="23">
        <v>1.0780204005828238</v>
      </c>
      <c r="CE178" s="23">
        <v>1.5521335675713432</v>
      </c>
      <c r="CF178" s="23">
        <v>1.646551724137931</v>
      </c>
      <c r="CG178" s="23">
        <f t="shared" si="63"/>
        <v>0.49868323694026523</v>
      </c>
      <c r="CH178" s="26">
        <v>21.68</v>
      </c>
      <c r="CI178" s="26">
        <v>40</v>
      </c>
      <c r="CJ178" s="26">
        <v>1.3360592778663494</v>
      </c>
      <c r="CK178" s="26">
        <v>1.6020599913279623</v>
      </c>
      <c r="CL178" s="26">
        <v>-0.45800000000000002</v>
      </c>
      <c r="CM178" s="27">
        <v>32.806781609195411</v>
      </c>
      <c r="CN178" s="27">
        <v>-4.7167732717294325E-2</v>
      </c>
      <c r="CO178" s="27">
        <v>14.6873913</v>
      </c>
      <c r="CP178" s="27">
        <v>4.8895593141903844E-2</v>
      </c>
      <c r="CQ178" s="27">
        <v>128.33115384615388</v>
      </c>
      <c r="CR178" s="27">
        <v>-9.0896458522922177E-2</v>
      </c>
      <c r="CS178" s="27">
        <v>1.3546743295019157</v>
      </c>
      <c r="CT178" s="27">
        <v>1.4151340996168575</v>
      </c>
      <c r="CU178" s="27">
        <v>-4.272370380397951E-2</v>
      </c>
      <c r="CV178" s="27">
        <v>1.5608045977011498</v>
      </c>
      <c r="CW178" s="27">
        <v>2.1933485357004661</v>
      </c>
      <c r="CX178" s="36">
        <v>1.03</v>
      </c>
      <c r="CY178" s="28">
        <v>2.34</v>
      </c>
      <c r="CZ178" s="29">
        <v>33.580881230000003</v>
      </c>
      <c r="DA178" s="27">
        <v>-3.8009543741646867E-3</v>
      </c>
      <c r="DB178" s="27">
        <v>1.4102002336892525</v>
      </c>
      <c r="DC178" s="27">
        <v>3.1430399491928545</v>
      </c>
      <c r="DD178" s="27">
        <v>1</v>
      </c>
      <c r="DE178" s="27">
        <v>2.4</v>
      </c>
      <c r="DF178" s="27">
        <v>98.9</v>
      </c>
      <c r="DG178" s="28">
        <v>4.5941092386286666</v>
      </c>
      <c r="DH178" s="27">
        <v>0.99031999999999998</v>
      </c>
      <c r="DI178" s="27">
        <v>2</v>
      </c>
      <c r="DJ178" s="27">
        <v>3.5</v>
      </c>
      <c r="DK178" s="27">
        <v>2.6</v>
      </c>
      <c r="DL178" s="27">
        <v>2.4369778879479467E-2</v>
      </c>
      <c r="DM178" s="27">
        <v>0.69779999999999998</v>
      </c>
      <c r="DN178" s="28">
        <v>0.68400000000000005</v>
      </c>
      <c r="DO178" s="28">
        <v>-9.8220171390902972E-2</v>
      </c>
      <c r="DP178" s="28">
        <f t="shared" si="81"/>
        <v>-2.487423141419793E-2</v>
      </c>
      <c r="DQ178" s="27">
        <v>0.13560000000000005</v>
      </c>
      <c r="DR178" s="27">
        <v>3.802148779895468E-2</v>
      </c>
      <c r="DS178" s="27">
        <v>3.4239891893164551E-2</v>
      </c>
      <c r="DT178" s="27">
        <v>5.0662060808238797E-2</v>
      </c>
      <c r="DU178" s="30">
        <v>9.2708490000000001</v>
      </c>
      <c r="DV178">
        <v>2.2000000000000002</v>
      </c>
      <c r="DW178">
        <v>2.6</v>
      </c>
      <c r="DX178">
        <v>98.8</v>
      </c>
      <c r="DY178">
        <v>96.9</v>
      </c>
      <c r="DZ178">
        <v>1.3</v>
      </c>
      <c r="EA178">
        <v>2.5</v>
      </c>
      <c r="EB178">
        <v>1.1868369999999999</v>
      </c>
    </row>
    <row r="179" spans="1:132" ht="18">
      <c r="A179" s="14" t="s">
        <v>164</v>
      </c>
      <c r="B179" s="14">
        <v>9</v>
      </c>
      <c r="C179" s="14" t="s">
        <v>165</v>
      </c>
      <c r="D179" s="14" t="s">
        <v>148</v>
      </c>
      <c r="E179" s="14" t="s">
        <v>145</v>
      </c>
      <c r="F179" s="15">
        <v>330.5</v>
      </c>
      <c r="G179" s="15">
        <v>2.5191714638216589</v>
      </c>
      <c r="H179" s="15">
        <v>84.3</v>
      </c>
      <c r="I179" s="15">
        <v>0</v>
      </c>
      <c r="J179" s="16">
        <v>246.3</v>
      </c>
      <c r="K179" s="16">
        <v>1</v>
      </c>
      <c r="L179" s="17">
        <v>5.8585579261591263E-3</v>
      </c>
      <c r="M179" s="18">
        <v>100</v>
      </c>
      <c r="N179" s="18">
        <v>41</v>
      </c>
      <c r="O179" s="18">
        <v>0.66400904385077619</v>
      </c>
      <c r="P179" s="18">
        <v>2</v>
      </c>
      <c r="Q179" s="18">
        <v>2</v>
      </c>
      <c r="R179" s="18">
        <v>100</v>
      </c>
      <c r="S179" s="18">
        <v>5</v>
      </c>
      <c r="T179" s="19">
        <v>3906</v>
      </c>
      <c r="U179" s="19">
        <v>3.5917322389518356</v>
      </c>
      <c r="V179" s="20">
        <v>26652</v>
      </c>
      <c r="W179" s="20">
        <v>4.4257298045960987</v>
      </c>
      <c r="X179" s="20">
        <v>0.14845677808908966</v>
      </c>
      <c r="Y179" s="20"/>
      <c r="Z179" s="20"/>
      <c r="AA179" s="20">
        <v>2.2019577759999999E-2</v>
      </c>
      <c r="AB179" s="20">
        <v>611.4</v>
      </c>
      <c r="AD179" s="21">
        <v>119</v>
      </c>
      <c r="AE179" s="21">
        <f t="shared" si="69"/>
        <v>2.1094353803719698E-3</v>
      </c>
      <c r="AF179" s="21">
        <f t="shared" si="70"/>
        <v>2.0755469613925306</v>
      </c>
      <c r="AG179" s="22">
        <v>7.0905390936872937E-4</v>
      </c>
      <c r="AH179" s="22">
        <v>40</v>
      </c>
      <c r="AI179" s="22">
        <v>1.8286736020000001</v>
      </c>
      <c r="AJ179" s="22">
        <v>179527</v>
      </c>
      <c r="AK179" s="23">
        <f t="shared" si="68"/>
        <v>5.2541297736341361</v>
      </c>
      <c r="AL179" s="24">
        <v>0.11703090300000001</v>
      </c>
      <c r="AM179" s="22">
        <f>21421+21957</f>
        <v>43378</v>
      </c>
      <c r="AN179" s="22">
        <f t="shared" si="78"/>
        <v>0.76893351201491855</v>
      </c>
      <c r="AO179" s="23">
        <v>5.6945451494795622E-2</v>
      </c>
      <c r="AP179" s="33">
        <v>5.6655500000000005E-4</v>
      </c>
      <c r="AQ179" s="23">
        <v>-1.2467579233344663</v>
      </c>
      <c r="AR179" s="22">
        <v>56413.2</v>
      </c>
      <c r="AS179" s="23">
        <v>4.7513807354801401</v>
      </c>
      <c r="AT179" s="23">
        <v>4.7073853487297699</v>
      </c>
      <c r="AU179" s="22">
        <v>2.1669999999999998</v>
      </c>
      <c r="AV179" s="22">
        <v>1.7094359560000001</v>
      </c>
      <c r="AW179" s="22">
        <v>22.5</v>
      </c>
      <c r="AX179" s="22">
        <v>20.5</v>
      </c>
      <c r="AY179" s="22">
        <v>1</v>
      </c>
      <c r="AZ179" s="24">
        <v>33375.800000000003</v>
      </c>
      <c r="BA179" s="24">
        <f t="shared" si="61"/>
        <v>4.5234316843028655</v>
      </c>
      <c r="BB179" s="24">
        <v>30735.1</v>
      </c>
      <c r="BC179" s="24">
        <f t="shared" si="62"/>
        <v>4.4876346304836385</v>
      </c>
      <c r="BD179" s="24">
        <v>2640.7000000000044</v>
      </c>
      <c r="BE179" s="22">
        <v>1900.6</v>
      </c>
      <c r="BF179" s="22">
        <f t="shared" si="79"/>
        <v>98.649999999999977</v>
      </c>
      <c r="BG179" s="23">
        <v>0.11583396935360768</v>
      </c>
      <c r="BH179" s="23">
        <v>3.3690696503655172E-2</v>
      </c>
      <c r="BI179" s="23">
        <v>3.3412255802959298E-2</v>
      </c>
      <c r="BJ179" s="23">
        <v>3.4263590351493105E-3</v>
      </c>
      <c r="BK179" s="23">
        <v>8.3334900324572789E-3</v>
      </c>
      <c r="BL179" s="22">
        <v>1703.3</v>
      </c>
      <c r="BM179" s="22">
        <v>3385.3</v>
      </c>
      <c r="BN179" s="22">
        <f t="shared" si="80"/>
        <v>274.89999999999986</v>
      </c>
      <c r="BO179" s="22">
        <v>3.5295971612254249</v>
      </c>
      <c r="BP179" s="22">
        <v>0.10142977846223911</v>
      </c>
      <c r="BQ179" s="22">
        <v>1.3289417734519044E-2</v>
      </c>
      <c r="BR179" s="22">
        <v>2.983626335051795E-3</v>
      </c>
      <c r="BS179" s="22">
        <v>-2575</v>
      </c>
      <c r="BT179" s="22">
        <v>3.4107772333772099</v>
      </c>
      <c r="BU179" s="22">
        <v>4.5645345415611951E-2</v>
      </c>
      <c r="BV179" s="23">
        <v>3584.9</v>
      </c>
      <c r="BW179" s="22">
        <v>21032.9</v>
      </c>
      <c r="BX179" s="22">
        <v>33.22</v>
      </c>
      <c r="BY179" s="22">
        <v>1.5213996281153757</v>
      </c>
      <c r="BZ179" s="25">
        <v>7.3691014867485374E-2</v>
      </c>
      <c r="CA179" s="23">
        <v>1.5521335675713432</v>
      </c>
      <c r="CB179" s="23">
        <v>155.21335675713433</v>
      </c>
      <c r="CC179" s="23">
        <v>2.1909290913830093</v>
      </c>
      <c r="CD179" s="23">
        <v>1.1357531911581438</v>
      </c>
      <c r="CE179" s="23">
        <v>1.1032035078689733</v>
      </c>
      <c r="CF179" s="23">
        <v>1.3624961762006731</v>
      </c>
      <c r="CG179" s="23">
        <f t="shared" si="63"/>
        <v>0.30931844109310241</v>
      </c>
      <c r="CH179" s="26">
        <v>17.75</v>
      </c>
      <c r="CI179" s="26">
        <v>21.68</v>
      </c>
      <c r="CJ179" s="26">
        <v>1.249198357391113</v>
      </c>
      <c r="CK179" s="26">
        <v>1.3360592778663494</v>
      </c>
      <c r="CL179" s="26">
        <v>-0.18127306273062729</v>
      </c>
      <c r="CM179" s="27">
        <v>23.674061302682002</v>
      </c>
      <c r="CN179" s="27">
        <v>-0.27837903806917774</v>
      </c>
      <c r="CO179" s="27">
        <v>13.17284585</v>
      </c>
      <c r="CP179" s="27">
        <v>-0.10311875125162628</v>
      </c>
      <c r="CQ179" s="27">
        <v>93.814615384615436</v>
      </c>
      <c r="CR179" s="27">
        <v>-0.26896460779054171</v>
      </c>
      <c r="CS179" s="27">
        <v>1.0575095785440605</v>
      </c>
      <c r="CT179" s="27">
        <v>1.3546743295019157</v>
      </c>
      <c r="CU179" s="27">
        <v>-0.21936250247475808</v>
      </c>
      <c r="CV179" s="27">
        <v>1.2699233716475098</v>
      </c>
      <c r="CW179" s="27">
        <v>2.1037775160152683</v>
      </c>
      <c r="CX179" s="36">
        <v>0.92</v>
      </c>
      <c r="CY179" s="28">
        <v>1.03</v>
      </c>
      <c r="CZ179" s="29">
        <v>26.404674329999999</v>
      </c>
      <c r="DA179" s="27">
        <v>-0.21369918349816944</v>
      </c>
      <c r="DB179" s="27">
        <v>3.3676575479931978</v>
      </c>
      <c r="DC179" s="27">
        <v>1.4102002336892525</v>
      </c>
      <c r="DD179" s="27">
        <v>1</v>
      </c>
      <c r="DE179" s="27">
        <v>2.2999999999999998</v>
      </c>
      <c r="DF179" s="27">
        <v>100</v>
      </c>
      <c r="DG179" s="28">
        <v>4.6051701859880918</v>
      </c>
      <c r="DH179" s="27">
        <v>1</v>
      </c>
      <c r="DI179" s="27">
        <v>1.8</v>
      </c>
      <c r="DJ179" s="27">
        <v>2</v>
      </c>
      <c r="DK179" s="27">
        <v>2.5</v>
      </c>
      <c r="DL179" s="27">
        <v>2.4833477735949187E-2</v>
      </c>
      <c r="DM179" s="27">
        <v>0.74709999999999999</v>
      </c>
      <c r="DN179" s="28">
        <v>0.71719999999999995</v>
      </c>
      <c r="DO179" s="28">
        <v>4.8538011695906276E-2</v>
      </c>
      <c r="DP179" s="28">
        <f t="shared" si="81"/>
        <v>7.0650616222413323E-2</v>
      </c>
      <c r="DQ179" s="27">
        <v>0.14990000000000003</v>
      </c>
      <c r="DR179" s="27">
        <v>3.4239891893164551E-2</v>
      </c>
      <c r="DS179" s="27">
        <v>2.4180879115385762E-2</v>
      </c>
      <c r="DT179" s="27">
        <v>3.802148779895468E-2</v>
      </c>
      <c r="DU179" s="30">
        <v>9.6228090000000002</v>
      </c>
      <c r="DV179">
        <v>2.7</v>
      </c>
      <c r="DW179">
        <v>2.9</v>
      </c>
      <c r="DX179">
        <v>100</v>
      </c>
      <c r="DY179">
        <v>100</v>
      </c>
      <c r="DZ179">
        <v>0.2</v>
      </c>
      <c r="EA179">
        <v>2</v>
      </c>
      <c r="EB179">
        <v>1.2855829999999999</v>
      </c>
    </row>
    <row r="180" spans="1:132" ht="18">
      <c r="A180" s="14" t="s">
        <v>164</v>
      </c>
      <c r="B180" s="14">
        <v>10</v>
      </c>
      <c r="C180" s="14" t="s">
        <v>165</v>
      </c>
      <c r="D180" s="14" t="s">
        <v>148</v>
      </c>
      <c r="E180" s="14" t="s">
        <v>145</v>
      </c>
      <c r="F180" s="15">
        <v>594.1</v>
      </c>
      <c r="G180" s="15">
        <v>2.7738595523766869</v>
      </c>
      <c r="H180" s="15">
        <v>69.5</v>
      </c>
      <c r="I180" s="15">
        <v>0</v>
      </c>
      <c r="J180" s="16">
        <v>524.6</v>
      </c>
      <c r="K180" s="16">
        <v>1</v>
      </c>
      <c r="L180" s="17">
        <v>9.807644052351459E-3</v>
      </c>
      <c r="M180" s="18">
        <v>100</v>
      </c>
      <c r="N180" s="18">
        <v>41</v>
      </c>
      <c r="O180" s="18">
        <v>0.66400904385077619</v>
      </c>
      <c r="P180" s="18">
        <v>2</v>
      </c>
      <c r="Q180" s="18">
        <v>2</v>
      </c>
      <c r="R180" s="18">
        <v>100</v>
      </c>
      <c r="S180" s="18">
        <v>5</v>
      </c>
      <c r="T180" s="19">
        <v>4083.8</v>
      </c>
      <c r="U180" s="19">
        <v>3.6110644647999708</v>
      </c>
      <c r="V180" s="20">
        <v>28756</v>
      </c>
      <c r="W180" s="20">
        <v>4.4587284749394973</v>
      </c>
      <c r="X180" s="20">
        <v>0.15686231725943706</v>
      </c>
      <c r="Y180" s="20"/>
      <c r="Z180" s="20"/>
      <c r="AA180" s="20">
        <v>1.5003839349999999E-2</v>
      </c>
      <c r="AB180" s="20">
        <v>420.1</v>
      </c>
      <c r="AD180" s="21">
        <v>431.1</v>
      </c>
      <c r="AE180" s="21">
        <f t="shared" si="69"/>
        <v>7.1167738612501492E-3</v>
      </c>
      <c r="AF180" s="21">
        <f t="shared" si="70"/>
        <v>2.634578022853888</v>
      </c>
      <c r="AG180" s="22">
        <v>7.7589508577767801E-4</v>
      </c>
      <c r="AH180" s="22">
        <v>47</v>
      </c>
      <c r="AI180" s="22">
        <v>1.4817803089999999</v>
      </c>
      <c r="AJ180" s="22">
        <v>183320</v>
      </c>
      <c r="AK180" s="23">
        <f t="shared" si="68"/>
        <v>5.2632098485727488</v>
      </c>
      <c r="AL180" s="24">
        <v>0.11050468300000001</v>
      </c>
      <c r="AM180" s="22">
        <f>21223+25736</f>
        <v>46959</v>
      </c>
      <c r="AN180" s="22">
        <f t="shared" si="78"/>
        <v>0.77521824112838256</v>
      </c>
      <c r="AO180" s="23">
        <v>5.4010320408919815E-2</v>
      </c>
      <c r="AP180" s="33">
        <v>2.2544279E-2</v>
      </c>
      <c r="AQ180" s="23">
        <v>0.35303635047299414</v>
      </c>
      <c r="AR180" s="22">
        <v>60575.199999999997</v>
      </c>
      <c r="AS180" s="23">
        <v>4.7822948567138441</v>
      </c>
      <c r="AT180" s="23">
        <v>4.7513807354801401</v>
      </c>
      <c r="AU180" s="22">
        <v>2.2109999999999999</v>
      </c>
      <c r="AV180" s="22">
        <v>1.736460329</v>
      </c>
      <c r="AW180" s="22">
        <v>19.100000000000001</v>
      </c>
      <c r="AX180" s="22">
        <v>22.5</v>
      </c>
      <c r="AY180" s="22">
        <v>1</v>
      </c>
      <c r="AZ180" s="24">
        <v>36955.9</v>
      </c>
      <c r="BA180" s="24">
        <f t="shared" si="61"/>
        <v>4.5676837832692501</v>
      </c>
      <c r="BB180" s="24">
        <v>34191.199999999997</v>
      </c>
      <c r="BC180" s="24">
        <f t="shared" si="62"/>
        <v>4.5339143433889548</v>
      </c>
      <c r="BD180" s="24">
        <v>2764.7000000000044</v>
      </c>
      <c r="BE180" s="22">
        <v>1996</v>
      </c>
      <c r="BF180" s="22">
        <f t="shared" si="79"/>
        <v>47.700000000000045</v>
      </c>
      <c r="BG180" s="23">
        <v>5.0194675365674048E-2</v>
      </c>
      <c r="BH180" s="23">
        <v>3.2950778536430754E-2</v>
      </c>
      <c r="BI180" s="23">
        <v>3.3690696503655172E-2</v>
      </c>
      <c r="BJ180" s="23">
        <v>3.4263590351493105E-3</v>
      </c>
      <c r="BK180" s="23">
        <v>-2.1962085798497608E-2</v>
      </c>
      <c r="BL180" s="22">
        <v>1900.6</v>
      </c>
      <c r="BM180" s="22">
        <v>3937.6</v>
      </c>
      <c r="BN180" s="22">
        <f t="shared" si="80"/>
        <v>276.14999999999986</v>
      </c>
      <c r="BO180" s="22">
        <v>3.5952315963587274</v>
      </c>
      <c r="BP180" s="22">
        <v>0.10654861605318772</v>
      </c>
      <c r="BQ180" s="22">
        <v>2.5594187954743053E-3</v>
      </c>
      <c r="BR180" s="22">
        <v>1.3289417734519044E-2</v>
      </c>
      <c r="BS180" s="22">
        <v>-2071.5</v>
      </c>
      <c r="BT180" s="22">
        <v>3.3162849376343124</v>
      </c>
      <c r="BU180" s="22">
        <v>3.4197163195499147E-2</v>
      </c>
      <c r="BV180" s="23">
        <v>2534.9</v>
      </c>
      <c r="BW180" s="22">
        <v>22382.799999999999</v>
      </c>
      <c r="BX180" s="22">
        <v>28.8</v>
      </c>
      <c r="BY180" s="22">
        <v>1.4593924877592308</v>
      </c>
      <c r="BZ180" s="25">
        <v>-0.13305237808549061</v>
      </c>
      <c r="CA180" s="23">
        <v>1.1032035078689733</v>
      </c>
      <c r="CB180" s="23">
        <v>110.32035078689732</v>
      </c>
      <c r="CC180" s="23">
        <v>2.0426556341011839</v>
      </c>
      <c r="CD180" s="23">
        <v>1.5521335675713432</v>
      </c>
      <c r="CE180" s="23">
        <v>0.77039398828762051</v>
      </c>
      <c r="CF180" s="23">
        <v>1.5982966643009227</v>
      </c>
      <c r="CG180" s="23">
        <f t="shared" si="63"/>
        <v>0.46893847736090077</v>
      </c>
      <c r="CH180" s="26">
        <v>23.4</v>
      </c>
      <c r="CI180" s="26">
        <v>17.75</v>
      </c>
      <c r="CJ180" s="26">
        <v>1.3692158574101427</v>
      </c>
      <c r="CK180" s="26">
        <v>1.249198357391113</v>
      </c>
      <c r="CL180" s="26">
        <v>0.31830985915492949</v>
      </c>
      <c r="CM180" s="27">
        <v>25.275999999999993</v>
      </c>
      <c r="CN180" s="27">
        <v>6.7666408261623831E-2</v>
      </c>
      <c r="CO180" s="27">
        <v>14.39393443</v>
      </c>
      <c r="CP180" s="27">
        <v>9.2697401450272041E-2</v>
      </c>
      <c r="CQ180" s="27">
        <v>94.493822393822356</v>
      </c>
      <c r="CR180" s="27">
        <v>7.2398848134946573E-3</v>
      </c>
      <c r="CS180" s="27">
        <v>1.0720384615384604</v>
      </c>
      <c r="CT180" s="27">
        <v>1.0575095785440605</v>
      </c>
      <c r="CU180" s="27">
        <v>1.37387720065881E-2</v>
      </c>
      <c r="CV180" s="27">
        <v>1.268846153846154</v>
      </c>
      <c r="CW180" s="27">
        <v>2.1034089675745258</v>
      </c>
      <c r="CX180" s="36">
        <v>0.92</v>
      </c>
      <c r="CY180" s="28">
        <v>0.92</v>
      </c>
      <c r="CZ180" s="29">
        <v>29.99596154</v>
      </c>
      <c r="DA180" s="27">
        <v>0.13600952487112158</v>
      </c>
      <c r="DB180" s="27">
        <v>1.9709466682529033</v>
      </c>
      <c r="DC180" s="27">
        <v>3.3676575479931978</v>
      </c>
      <c r="DD180" s="27">
        <v>1</v>
      </c>
      <c r="DE180" s="27">
        <v>1.9</v>
      </c>
      <c r="DF180" s="27">
        <v>100.9</v>
      </c>
      <c r="DG180" s="28">
        <v>4.6141299273595635</v>
      </c>
      <c r="DH180" s="27">
        <v>1.01092</v>
      </c>
      <c r="DI180" s="27">
        <v>1.7</v>
      </c>
      <c r="DJ180" s="27">
        <v>2.4</v>
      </c>
      <c r="DK180" s="27">
        <v>2.7</v>
      </c>
      <c r="DL180" s="27">
        <v>1.6688062333233E-2</v>
      </c>
      <c r="DM180" s="27">
        <v>0.77139999999999997</v>
      </c>
      <c r="DN180" s="28">
        <v>0.69699999999999995</v>
      </c>
      <c r="DO180" s="28">
        <v>-2.8165086447295033E-2</v>
      </c>
      <c r="DP180" s="28">
        <f>(DM180-DM179)/DM179</f>
        <v>3.2525766296345855E-2</v>
      </c>
      <c r="DQ180" s="27">
        <v>0.10270000000000001</v>
      </c>
      <c r="DR180" s="27">
        <v>2.4180879115385762E-2</v>
      </c>
      <c r="DS180" s="27">
        <v>2.0079372103467861E-2</v>
      </c>
      <c r="DT180" s="27">
        <v>3.4239891893164551E-2</v>
      </c>
      <c r="DU180" s="30">
        <v>8.9420310000000001</v>
      </c>
      <c r="DV180">
        <v>2.2000000000000002</v>
      </c>
      <c r="DW180">
        <v>2.4</v>
      </c>
      <c r="DX180">
        <v>102.1</v>
      </c>
      <c r="DY180">
        <v>102.1</v>
      </c>
      <c r="DZ180">
        <v>0.9</v>
      </c>
      <c r="EA180">
        <v>0.7</v>
      </c>
      <c r="EB180">
        <v>1.494866</v>
      </c>
    </row>
    <row r="181" spans="1:132" ht="18">
      <c r="A181" s="14" t="s">
        <v>164</v>
      </c>
      <c r="B181" s="14">
        <v>11</v>
      </c>
      <c r="C181" s="14" t="s">
        <v>165</v>
      </c>
      <c r="D181" s="14" t="s">
        <v>148</v>
      </c>
      <c r="E181" s="14" t="s">
        <v>145</v>
      </c>
      <c r="F181" s="15">
        <v>786.1</v>
      </c>
      <c r="G181" s="15">
        <v>2.8954777962757148</v>
      </c>
      <c r="H181" s="15">
        <v>109.6</v>
      </c>
      <c r="I181" s="15">
        <v>0</v>
      </c>
      <c r="J181" s="16">
        <v>676.5</v>
      </c>
      <c r="K181" s="16">
        <v>1</v>
      </c>
      <c r="L181" s="17">
        <v>1.2763290561724417E-2</v>
      </c>
      <c r="M181" s="18">
        <v>100</v>
      </c>
      <c r="N181" s="18">
        <v>41</v>
      </c>
      <c r="O181" s="18">
        <v>0.66400904385077619</v>
      </c>
      <c r="P181" s="18">
        <v>2</v>
      </c>
      <c r="Q181" s="18">
        <v>2</v>
      </c>
      <c r="R181" s="18">
        <v>100</v>
      </c>
      <c r="S181" s="18">
        <v>5</v>
      </c>
      <c r="T181" s="19">
        <v>4961.8999999999996</v>
      </c>
      <c r="U181" s="19">
        <v>3.6956480074400564</v>
      </c>
      <c r="V181" s="20">
        <v>33054</v>
      </c>
      <c r="W181" s="20">
        <v>4.5192240227569647</v>
      </c>
      <c r="X181" s="20">
        <v>0.17152998687085175</v>
      </c>
      <c r="Y181" s="20"/>
      <c r="Z181" s="20"/>
      <c r="AA181" s="20">
        <v>2.0841686160000001E-2</v>
      </c>
      <c r="AB181" s="20">
        <v>597.79999999999995</v>
      </c>
      <c r="AD181" s="21">
        <v>476.9</v>
      </c>
      <c r="AE181" s="21">
        <f t="shared" si="69"/>
        <v>7.7430521166344923E-3</v>
      </c>
      <c r="AF181" s="21">
        <f t="shared" si="70"/>
        <v>2.6784273224338673</v>
      </c>
      <c r="AG181" s="22">
        <v>7.6310222160163796E-4</v>
      </c>
      <c r="AH181" s="22">
        <v>47</v>
      </c>
      <c r="AI181" s="22">
        <v>1.55237581</v>
      </c>
      <c r="AJ181" s="22">
        <v>192701</v>
      </c>
      <c r="AK181" s="23">
        <f t="shared" si="68"/>
        <v>5.2848839683832942</v>
      </c>
      <c r="AL181" s="24">
        <v>0.128434834</v>
      </c>
      <c r="AM181" s="22">
        <f>20562+26958</f>
        <v>47520</v>
      </c>
      <c r="AN181" s="22">
        <f t="shared" si="78"/>
        <v>0.77154505469169865</v>
      </c>
      <c r="AO181" s="23">
        <v>5.2420690797647648E-2</v>
      </c>
      <c r="AP181" s="33">
        <v>1.6723691999999998E-2</v>
      </c>
      <c r="AQ181" s="23">
        <v>0.22333216055667346</v>
      </c>
      <c r="AR181" s="22">
        <v>61590.7</v>
      </c>
      <c r="AS181" s="23">
        <v>4.7895151400280653</v>
      </c>
      <c r="AT181" s="23">
        <v>4.7822948567138441</v>
      </c>
      <c r="AU181" s="22">
        <v>2.085</v>
      </c>
      <c r="AV181" s="22">
        <v>1.6281572470000001</v>
      </c>
      <c r="AW181" s="22">
        <v>20.7</v>
      </c>
      <c r="AX181" s="22">
        <v>19.100000000000001</v>
      </c>
      <c r="AY181" s="22">
        <v>1</v>
      </c>
      <c r="AZ181" s="24">
        <v>38633.599999999999</v>
      </c>
      <c r="BA181" s="24">
        <f t="shared" si="61"/>
        <v>4.5869651789521857</v>
      </c>
      <c r="BB181" s="24">
        <v>35746.9</v>
      </c>
      <c r="BC181" s="24">
        <f t="shared" si="62"/>
        <v>4.5532383854023051</v>
      </c>
      <c r="BD181" s="24">
        <v>2886.6999999999971</v>
      </c>
      <c r="BE181" s="22">
        <v>2025.2</v>
      </c>
      <c r="BF181" s="22">
        <f t="shared" si="79"/>
        <v>14.600000000000023</v>
      </c>
      <c r="BG181" s="23">
        <v>1.4629258517034092E-2</v>
      </c>
      <c r="BH181" s="23">
        <v>3.2881587642290155E-2</v>
      </c>
      <c r="BI181" s="23">
        <v>3.2950778536430754E-2</v>
      </c>
      <c r="BJ181" s="23">
        <v>3.4263590351493105E-3</v>
      </c>
      <c r="BK181" s="23">
        <v>-2.0998257769266468E-3</v>
      </c>
      <c r="BL181" s="22">
        <v>1996</v>
      </c>
      <c r="BM181" s="22">
        <v>3864.7</v>
      </c>
      <c r="BN181" s="22">
        <f t="shared" si="80"/>
        <v>36.450000000000045</v>
      </c>
      <c r="BO181" s="22">
        <v>3.5871157871543953</v>
      </c>
      <c r="BP181" s="22">
        <v>0.10003468483392694</v>
      </c>
      <c r="BQ181" s="22">
        <v>3.2569656096303884E-3</v>
      </c>
      <c r="BR181" s="22">
        <v>2.5594187954743053E-3</v>
      </c>
      <c r="BS181" s="22">
        <v>-2529.1999999999998</v>
      </c>
      <c r="BT181" s="22">
        <v>3.4029831731411808</v>
      </c>
      <c r="BU181" s="22">
        <v>4.1064641252656651E-2</v>
      </c>
      <c r="BV181" s="23">
        <v>4608.7</v>
      </c>
      <c r="BW181" s="22">
        <v>21710.5</v>
      </c>
      <c r="BX181" s="22">
        <v>32.4</v>
      </c>
      <c r="BY181" s="22">
        <v>1.510545010206612</v>
      </c>
      <c r="BZ181" s="25">
        <v>0.12499999999999992</v>
      </c>
      <c r="CA181" s="23">
        <v>0.77039398828762051</v>
      </c>
      <c r="CB181" s="23">
        <v>77.039398828762046</v>
      </c>
      <c r="CC181" s="23">
        <v>1.8867128851449049</v>
      </c>
      <c r="CD181" s="23">
        <v>1.1032035078689733</v>
      </c>
      <c r="CE181" s="23">
        <v>1.7787432919279571</v>
      </c>
      <c r="CF181" s="23">
        <v>1.30779178790818</v>
      </c>
      <c r="CG181" s="23">
        <f t="shared" si="63"/>
        <v>0.2683400568075226</v>
      </c>
      <c r="CH181" s="26">
        <v>18.02</v>
      </c>
      <c r="CI181" s="26">
        <v>23.4</v>
      </c>
      <c r="CJ181" s="26">
        <v>1.2557547866430441</v>
      </c>
      <c r="CK181" s="26">
        <v>1.3692158574101427</v>
      </c>
      <c r="CL181" s="26">
        <v>-0.22991452991452987</v>
      </c>
      <c r="CM181" s="27">
        <v>18.608429118773955</v>
      </c>
      <c r="CN181" s="27">
        <v>-0.26379058716672099</v>
      </c>
      <c r="CO181" s="27">
        <v>10.24478261</v>
      </c>
      <c r="CP181" s="27">
        <v>-0.288256962693417</v>
      </c>
      <c r="CQ181" s="27">
        <v>71.254230769230816</v>
      </c>
      <c r="CR181" s="27">
        <v>-0.24593768180670883</v>
      </c>
      <c r="CS181" s="27">
        <v>0.83494252873563157</v>
      </c>
      <c r="CT181" s="27">
        <v>1.0720384615384604</v>
      </c>
      <c r="CU181" s="27">
        <v>-0.22116364413136569</v>
      </c>
      <c r="CV181" s="27">
        <v>0.95088122605364045</v>
      </c>
      <c r="CW181" s="27">
        <v>1.9781262728880398</v>
      </c>
      <c r="CX181" s="36">
        <v>0.54</v>
      </c>
      <c r="CY181" s="28">
        <v>0.92</v>
      </c>
      <c r="CZ181" s="29">
        <v>24.56237548</v>
      </c>
      <c r="DA181" s="27">
        <v>-0.18114392008251654</v>
      </c>
      <c r="DB181" s="27">
        <v>1.7682050254071211</v>
      </c>
      <c r="DC181" s="27">
        <v>1.9709466682529033</v>
      </c>
      <c r="DD181" s="27">
        <v>1</v>
      </c>
      <c r="DE181" s="27">
        <v>2</v>
      </c>
      <c r="DF181" s="27">
        <v>102.2</v>
      </c>
      <c r="DG181" s="28">
        <v>4.6269316777696039</v>
      </c>
      <c r="DH181" s="27">
        <v>1.0259199999999999</v>
      </c>
      <c r="DI181" s="27">
        <v>1.6</v>
      </c>
      <c r="DJ181" s="27">
        <v>1.3</v>
      </c>
      <c r="DK181" s="27">
        <v>1.9</v>
      </c>
      <c r="DL181" s="27">
        <v>1.6829215601661535E-2</v>
      </c>
      <c r="DM181" s="27">
        <v>0.75800000000000001</v>
      </c>
      <c r="DN181" s="28">
        <v>0.74839999999999995</v>
      </c>
      <c r="DO181" s="28">
        <v>7.3744619799139169E-2</v>
      </c>
      <c r="DP181" s="28">
        <f t="shared" si="81"/>
        <v>-1.7371013741249636E-2</v>
      </c>
      <c r="DQ181" s="27">
        <v>8.4699999999999998E-2</v>
      </c>
      <c r="DR181" s="27">
        <v>2.0079372103467861E-2</v>
      </c>
      <c r="DS181" s="27">
        <v>1.50675227484701E-2</v>
      </c>
      <c r="DT181" s="27">
        <v>2.4180879115385762E-2</v>
      </c>
      <c r="DU181" s="30">
        <v>8.0652849999999994</v>
      </c>
      <c r="DV181">
        <v>0.9</v>
      </c>
      <c r="DW181">
        <v>1.4</v>
      </c>
      <c r="DX181">
        <v>103.9</v>
      </c>
      <c r="DY181">
        <v>103.8</v>
      </c>
      <c r="DZ181">
        <v>0.1</v>
      </c>
      <c r="EA181">
        <v>0</v>
      </c>
      <c r="EB181">
        <v>1.826854</v>
      </c>
    </row>
    <row r="182" spans="1:132" ht="18">
      <c r="A182" s="14" t="s">
        <v>164</v>
      </c>
      <c r="B182" s="14">
        <v>12</v>
      </c>
      <c r="C182" s="14" t="s">
        <v>165</v>
      </c>
      <c r="D182" s="14" t="s">
        <v>148</v>
      </c>
      <c r="E182" s="14" t="s">
        <v>145</v>
      </c>
      <c r="F182" s="15">
        <v>877</v>
      </c>
      <c r="G182" s="15">
        <v>2.9429995933660407</v>
      </c>
      <c r="H182" s="15">
        <v>177</v>
      </c>
      <c r="I182" s="15">
        <v>0</v>
      </c>
      <c r="J182" s="16">
        <v>700</v>
      </c>
      <c r="K182" s="16">
        <v>1</v>
      </c>
      <c r="L182" s="17">
        <v>1.3903862007736698E-2</v>
      </c>
      <c r="M182" s="18">
        <v>100</v>
      </c>
      <c r="N182" s="18">
        <v>41</v>
      </c>
      <c r="O182" s="18">
        <v>0.66400904385077619</v>
      </c>
      <c r="P182" s="18">
        <v>2</v>
      </c>
      <c r="Q182" s="18">
        <v>2</v>
      </c>
      <c r="R182" s="18">
        <v>100</v>
      </c>
      <c r="S182" s="18">
        <v>5</v>
      </c>
      <c r="T182" s="19">
        <v>5403</v>
      </c>
      <c r="U182" s="19">
        <v>3.7326349675391959</v>
      </c>
      <c r="V182" s="20">
        <v>34031</v>
      </c>
      <c r="W182" s="20">
        <v>4.5318747110147335</v>
      </c>
      <c r="X182" s="20">
        <v>0.17844932460776911</v>
      </c>
      <c r="Y182" s="20"/>
      <c r="Z182" s="20"/>
      <c r="AA182" s="20">
        <v>2.0019764740000001E-2</v>
      </c>
      <c r="AB182" s="20">
        <v>628</v>
      </c>
      <c r="AD182" s="21">
        <v>422</v>
      </c>
      <c r="AE182" s="21">
        <f t="shared" si="69"/>
        <v>6.6903418098801445E-3</v>
      </c>
      <c r="AF182" s="21">
        <f t="shared" si="70"/>
        <v>2.6253124509616739</v>
      </c>
      <c r="AG182" s="22">
        <v>8.0854841778172368E-4</v>
      </c>
      <c r="AH182" s="22">
        <v>51</v>
      </c>
      <c r="AI182" s="22">
        <v>2.0294159239999998</v>
      </c>
      <c r="AJ182" s="22">
        <v>190704</v>
      </c>
      <c r="AK182" s="23">
        <f t="shared" si="68"/>
        <v>5.2803598024309499</v>
      </c>
      <c r="AL182" s="24">
        <v>0.13394318</v>
      </c>
      <c r="AM182" s="22">
        <f>21618+27198</f>
        <v>48816</v>
      </c>
      <c r="AN182" s="22">
        <f t="shared" si="78"/>
        <v>0.77392352083201221</v>
      </c>
      <c r="AO182" s="23">
        <v>5.0721404135058754E-2</v>
      </c>
      <c r="AP182" s="33">
        <v>7.2558978999999996E-2</v>
      </c>
      <c r="AQ182" s="23">
        <v>0.86069116300207027</v>
      </c>
      <c r="AR182" s="22">
        <v>63076</v>
      </c>
      <c r="AS182" s="23">
        <v>4.7998641445013721</v>
      </c>
      <c r="AT182" s="23">
        <v>4.7895151400280653</v>
      </c>
      <c r="AU182" s="22">
        <v>2</v>
      </c>
      <c r="AV182" s="22">
        <v>1.5486494129999999</v>
      </c>
      <c r="AW182" s="22">
        <v>28.7</v>
      </c>
      <c r="AX182" s="22">
        <v>20.7</v>
      </c>
      <c r="AY182" s="22">
        <v>1</v>
      </c>
      <c r="AZ182" s="24">
        <v>40338</v>
      </c>
      <c r="BA182" s="24">
        <f t="shared" si="61"/>
        <v>4.6057143616383671</v>
      </c>
      <c r="BB182" s="24">
        <v>37323</v>
      </c>
      <c r="BC182" s="24">
        <f t="shared" si="62"/>
        <v>4.5719765448033431</v>
      </c>
      <c r="BD182" s="24">
        <v>3015</v>
      </c>
      <c r="BE182" s="22">
        <v>2046</v>
      </c>
      <c r="BF182" s="22">
        <f t="shared" si="79"/>
        <v>10.399999999999977</v>
      </c>
      <c r="BG182" s="23">
        <v>1.0270590558957118E-2</v>
      </c>
      <c r="BH182" s="23">
        <v>3.2437060054537385E-2</v>
      </c>
      <c r="BI182" s="23">
        <v>3.2881587642290155E-2</v>
      </c>
      <c r="BJ182" s="23">
        <v>3.4263590351493105E-3</v>
      </c>
      <c r="BK182" s="23">
        <v>-1.3519042711339394E-2</v>
      </c>
      <c r="BL182" s="22">
        <v>2025.2</v>
      </c>
      <c r="BM182" s="22">
        <v>3648</v>
      </c>
      <c r="BN182" s="22">
        <f t="shared" si="80"/>
        <v>108.34999999999991</v>
      </c>
      <c r="BO182" s="22">
        <v>3.5620548296563785</v>
      </c>
      <c r="BP182" s="22">
        <v>9.0435817343447869E-2</v>
      </c>
      <c r="BQ182" s="22">
        <v>4.7994337452395355E-3</v>
      </c>
      <c r="BR182" s="22">
        <v>3.2569656096303884E-3</v>
      </c>
      <c r="BS182" s="22">
        <v>-4783</v>
      </c>
      <c r="BT182" s="22">
        <v>3.6797003808719642</v>
      </c>
      <c r="BU182" s="22">
        <v>7.5829158475489891E-2</v>
      </c>
      <c r="BV182" s="23">
        <v>6030</v>
      </c>
      <c r="BW182" s="22">
        <v>21901</v>
      </c>
      <c r="BX182" s="22">
        <v>45.1</v>
      </c>
      <c r="BY182" s="22">
        <v>1.6541765418779606</v>
      </c>
      <c r="BZ182" s="25">
        <v>0.39197530864197544</v>
      </c>
      <c r="CA182" s="23">
        <v>1.7787432919279571</v>
      </c>
      <c r="CB182" s="23">
        <v>177.8743291927957</v>
      </c>
      <c r="CC182" s="23">
        <v>2.2501132752656838</v>
      </c>
      <c r="CD182" s="23">
        <v>0.77039398828762051</v>
      </c>
      <c r="CE182" s="23">
        <v>6.8566546505460533</v>
      </c>
      <c r="CF182" s="23">
        <v>1.4539933191618586</v>
      </c>
      <c r="CG182" s="23">
        <f t="shared" si="63"/>
        <v>0.37431378430149953</v>
      </c>
      <c r="CH182" s="26">
        <v>13.72</v>
      </c>
      <c r="CI182" s="26">
        <v>18.02</v>
      </c>
      <c r="CJ182" s="26">
        <v>1.1373541113707328</v>
      </c>
      <c r="CK182" s="26">
        <v>1.2557547866430441</v>
      </c>
      <c r="CL182" s="26">
        <v>-0.23862375138734734</v>
      </c>
      <c r="CM182" s="27">
        <v>14.834099616858232</v>
      </c>
      <c r="CN182" s="27">
        <v>-0.20282902322516949</v>
      </c>
      <c r="CO182" s="27">
        <v>8.3248809519999991</v>
      </c>
      <c r="CP182" s="27">
        <v>-0.18740286944946707</v>
      </c>
      <c r="CQ182" s="27">
        <v>73.031538461538446</v>
      </c>
      <c r="CR182" s="27">
        <v>2.494318825872599E-2</v>
      </c>
      <c r="CS182" s="27">
        <v>0.8023754789272034</v>
      </c>
      <c r="CT182" s="27">
        <v>0.83494252873563157</v>
      </c>
      <c r="CU182" s="27">
        <v>-3.9005139500733109E-2</v>
      </c>
      <c r="CV182" s="27">
        <v>0.96896551724137914</v>
      </c>
      <c r="CW182" s="27">
        <v>1.9863083220061237</v>
      </c>
      <c r="CX182" s="36">
        <v>0.62</v>
      </c>
      <c r="CY182" s="28">
        <v>0.54</v>
      </c>
      <c r="CZ182" s="29">
        <v>18.565019159999999</v>
      </c>
      <c r="DA182" s="27">
        <v>-0.24416841623821645</v>
      </c>
      <c r="DB182" s="27">
        <v>1.1698744465812936</v>
      </c>
      <c r="DC182" s="27">
        <v>1.7682050254071211</v>
      </c>
      <c r="DD182" s="27">
        <v>1</v>
      </c>
      <c r="DE182" s="27">
        <v>2</v>
      </c>
      <c r="DF182" s="27">
        <v>103</v>
      </c>
      <c r="DG182" s="28">
        <v>4.6347289882296359</v>
      </c>
      <c r="DH182" s="27">
        <v>1.0334399999999999</v>
      </c>
      <c r="DI182" s="27">
        <v>1.6</v>
      </c>
      <c r="DJ182" s="27">
        <v>1.4</v>
      </c>
      <c r="DK182" s="27">
        <v>1.3</v>
      </c>
      <c r="DL182" s="27">
        <v>1.2152522197973097E-2</v>
      </c>
      <c r="DM182" s="27">
        <v>0.72770000000000001</v>
      </c>
      <c r="DN182" s="28">
        <v>0.77380000000000004</v>
      </c>
      <c r="DO182" s="28">
        <v>3.3939070016034328E-2</v>
      </c>
      <c r="DP182" s="28">
        <f>(DM182-DM181)/DM181</f>
        <v>-3.9973614775725586E-2</v>
      </c>
      <c r="DQ182" s="27">
        <v>5.8499999999999996E-2</v>
      </c>
      <c r="DR182" s="27">
        <v>1.50675227484701E-2</v>
      </c>
      <c r="DS182" s="27">
        <v>3.1335239457349999E-2</v>
      </c>
      <c r="DT182" s="27">
        <v>2.0079372103467861E-2</v>
      </c>
      <c r="DU182" s="30">
        <v>7.3719619999999999</v>
      </c>
      <c r="DV182">
        <v>1.5</v>
      </c>
      <c r="DW182">
        <v>2.1</v>
      </c>
      <c r="DX182">
        <v>105.4</v>
      </c>
      <c r="DY182">
        <v>105.7</v>
      </c>
      <c r="DZ182">
        <v>0.2</v>
      </c>
      <c r="EA182">
        <v>0.8</v>
      </c>
      <c r="EB182">
        <v>1.343728</v>
      </c>
    </row>
    <row r="183" spans="1:132" ht="18">
      <c r="A183" s="14" t="s">
        <v>164</v>
      </c>
      <c r="B183" s="14">
        <v>13</v>
      </c>
      <c r="C183" s="14" t="s">
        <v>165</v>
      </c>
      <c r="D183" s="14" t="s">
        <v>148</v>
      </c>
      <c r="E183" s="14" t="s">
        <v>145</v>
      </c>
      <c r="F183" s="15">
        <v>845</v>
      </c>
      <c r="G183" s="15">
        <v>2.9268567089496922</v>
      </c>
      <c r="H183" s="15">
        <v>20</v>
      </c>
      <c r="I183" s="15">
        <v>0</v>
      </c>
      <c r="J183" s="16">
        <v>825</v>
      </c>
      <c r="K183" s="16">
        <v>1</v>
      </c>
      <c r="L183" s="17">
        <v>1.3406314453434872E-2</v>
      </c>
      <c r="M183" s="18">
        <v>100</v>
      </c>
      <c r="N183" s="18">
        <v>41</v>
      </c>
      <c r="O183" s="18">
        <v>0.66400904385077619</v>
      </c>
      <c r="P183" s="18">
        <v>2</v>
      </c>
      <c r="Q183" s="18">
        <v>2</v>
      </c>
      <c r="R183" s="18">
        <v>100</v>
      </c>
      <c r="S183" s="18">
        <v>5</v>
      </c>
      <c r="T183" s="19">
        <v>5522</v>
      </c>
      <c r="U183" s="19">
        <v>3.7420964023032446</v>
      </c>
      <c r="V183" s="20">
        <v>35338</v>
      </c>
      <c r="W183" s="20">
        <v>4.5482419664060929</v>
      </c>
      <c r="X183" s="20">
        <v>0.19071416621243112</v>
      </c>
      <c r="Y183" s="20"/>
      <c r="Z183" s="20"/>
      <c r="AA183" s="20">
        <v>2.8265776820000001E-2</v>
      </c>
      <c r="AB183" s="20">
        <v>864</v>
      </c>
      <c r="AD183" s="21">
        <v>444</v>
      </c>
      <c r="AE183" s="21">
        <f t="shared" si="69"/>
        <v>7.0442646358876721E-3</v>
      </c>
      <c r="AF183" s="21">
        <f t="shared" si="70"/>
        <v>2.6473829701146196</v>
      </c>
      <c r="AG183" s="22">
        <v>7.6154212279866732E-4</v>
      </c>
      <c r="AH183" s="22">
        <v>48</v>
      </c>
      <c r="AI183" s="22">
        <v>1.8245947229999999</v>
      </c>
      <c r="AJ183" s="22">
        <v>185293</v>
      </c>
      <c r="AK183" s="23">
        <f t="shared" si="68"/>
        <v>5.2678590128494083</v>
      </c>
      <c r="AL183" s="24">
        <v>0.14267627799999999</v>
      </c>
      <c r="AM183" s="22">
        <f>26748+21414</f>
        <v>48162</v>
      </c>
      <c r="AN183" s="22">
        <f>AM183/AR183</f>
        <v>0.76411232746311275</v>
      </c>
      <c r="AO183" s="23">
        <v>6.500788052605741E-2</v>
      </c>
      <c r="AP183" s="33">
        <v>7.1126720000000004E-2</v>
      </c>
      <c r="AQ183" s="23">
        <v>0.8520327817226625</v>
      </c>
      <c r="AR183" s="22">
        <v>63030</v>
      </c>
      <c r="AS183" s="23">
        <v>4.7995473071256152</v>
      </c>
      <c r="AT183" s="23">
        <v>4.7998641445013721</v>
      </c>
      <c r="AU183" s="22">
        <v>1.954</v>
      </c>
      <c r="AV183" s="22">
        <v>1.5378145560000001</v>
      </c>
      <c r="AW183" s="22">
        <v>26.9</v>
      </c>
      <c r="AX183" s="22">
        <v>28.7</v>
      </c>
      <c r="AY183" s="22">
        <v>1</v>
      </c>
      <c r="AZ183" s="24">
        <v>38703</v>
      </c>
      <c r="BA183" s="24">
        <f t="shared" si="61"/>
        <v>4.5877446299529927</v>
      </c>
      <c r="BB183" s="24">
        <v>35552</v>
      </c>
      <c r="BC183" s="24">
        <f t="shared" si="62"/>
        <v>4.5508640372607738</v>
      </c>
      <c r="BD183" s="24">
        <v>3151</v>
      </c>
      <c r="BE183" s="22">
        <v>2516</v>
      </c>
      <c r="BF183" s="22">
        <f t="shared" si="79"/>
        <v>235</v>
      </c>
      <c r="BG183" s="23">
        <v>0.22971652003910067</v>
      </c>
      <c r="BH183" s="23">
        <v>3.9917499603363479E-2</v>
      </c>
      <c r="BI183" s="23">
        <v>3.2437060054537385E-2</v>
      </c>
      <c r="BJ183" s="23">
        <v>3.4263590351493105E-3</v>
      </c>
      <c r="BK183" s="23">
        <v>0.23061398092949886</v>
      </c>
      <c r="BL183" s="22">
        <v>2046</v>
      </c>
      <c r="BM183" s="22">
        <v>3633</v>
      </c>
      <c r="BN183" s="22">
        <f>STDEVP(BM182:BM183)</f>
        <v>7.5</v>
      </c>
      <c r="BO183" s="22">
        <v>3.5602653978627146</v>
      </c>
      <c r="BP183" s="22">
        <v>9.386869234943028E-2</v>
      </c>
      <c r="BQ183" s="22">
        <v>1.7164375029912055E-3</v>
      </c>
      <c r="BR183" s="22">
        <v>4.7994337452395355E-3</v>
      </c>
      <c r="BS183" s="22">
        <v>-338</v>
      </c>
      <c r="BT183" s="22">
        <v>2.5289167002776547</v>
      </c>
      <c r="BU183" s="22">
        <v>5.362525781373949E-3</v>
      </c>
      <c r="BV183" s="23">
        <v>2454</v>
      </c>
      <c r="BW183" s="22">
        <v>22672</v>
      </c>
      <c r="BX183" s="22">
        <v>44.53</v>
      </c>
      <c r="BY183" s="22">
        <v>1.648652695131223</v>
      </c>
      <c r="BZ183" s="25">
        <v>-1.2638580931263865E-2</v>
      </c>
      <c r="CA183" s="23">
        <v>6.8566546505460533</v>
      </c>
      <c r="CB183" s="23">
        <v>685.66546505460531</v>
      </c>
      <c r="CC183" s="23">
        <v>2.8361122758852053</v>
      </c>
      <c r="CD183" s="23">
        <v>1.7787432919279571</v>
      </c>
      <c r="CE183" s="23">
        <v>7.5091992300000001</v>
      </c>
      <c r="CF183" s="23">
        <v>1.4347057337711542</v>
      </c>
      <c r="CG183" s="23">
        <f t="shared" si="63"/>
        <v>0.36095976460906631</v>
      </c>
      <c r="CH183" s="26">
        <v>19.2</v>
      </c>
      <c r="CI183" s="26">
        <v>13.72</v>
      </c>
      <c r="CJ183" s="26">
        <v>1.2833012287035497</v>
      </c>
      <c r="CK183" s="26">
        <v>1.1373541113707328</v>
      </c>
      <c r="CL183" s="26">
        <v>0.39941690962099113</v>
      </c>
      <c r="CM183" s="27">
        <v>14.883180076628348</v>
      </c>
      <c r="CN183" s="27">
        <v>3.3086241186042575E-3</v>
      </c>
      <c r="CO183" s="27">
        <v>6.9159523810000003</v>
      </c>
      <c r="CP183" s="27">
        <v>-0.1692430893755319</v>
      </c>
      <c r="CQ183" s="27">
        <v>64.583076923076902</v>
      </c>
      <c r="CR183" s="27">
        <v>-0.11568237115682381</v>
      </c>
      <c r="CS183" s="27">
        <v>0.66574712643678124</v>
      </c>
      <c r="CT183" s="27">
        <v>0.8023754789272034</v>
      </c>
      <c r="CU183" s="27">
        <v>-0.1702798204564997</v>
      </c>
      <c r="CV183" s="27">
        <v>0.67685823754789287</v>
      </c>
      <c r="CW183" s="27">
        <v>1.8304977187626064</v>
      </c>
      <c r="CX183" s="36">
        <v>1.33</v>
      </c>
      <c r="CY183" s="28">
        <v>0.62</v>
      </c>
      <c r="CZ183" s="29">
        <v>18.278045980000002</v>
      </c>
      <c r="DA183" s="27">
        <v>-1.5457736807420394E-2</v>
      </c>
      <c r="DC183" s="27">
        <v>1.1698744465812936</v>
      </c>
      <c r="DD183" s="27">
        <v>1</v>
      </c>
      <c r="DE183" s="27">
        <v>1.5</v>
      </c>
      <c r="DF183" s="27">
        <v>104</v>
      </c>
      <c r="DG183" s="28">
        <v>4.6443908991413725</v>
      </c>
      <c r="DH183" s="27">
        <v>1.0435000000000001</v>
      </c>
      <c r="DI183" s="27">
        <v>1.6</v>
      </c>
      <c r="DJ183" s="27">
        <v>0.7</v>
      </c>
      <c r="DK183" s="27">
        <v>1</v>
      </c>
      <c r="DL183" s="27">
        <v>1.7108786898118553E-2</v>
      </c>
      <c r="DM183" s="27">
        <v>0.8266</v>
      </c>
      <c r="DN183" s="28">
        <v>0.75860000000000005</v>
      </c>
      <c r="DO183" s="28">
        <v>-1.9643318686999211E-2</v>
      </c>
      <c r="DP183" s="28">
        <f t="shared" si="81"/>
        <v>0.13590765425312626</v>
      </c>
      <c r="DQ183" s="27">
        <v>0.10860000000000003</v>
      </c>
      <c r="DR183" s="27">
        <v>3.1335239457349999E-2</v>
      </c>
      <c r="DS183" s="27">
        <v>2.7611694356583942E-2</v>
      </c>
      <c r="DT183" s="27">
        <v>1.50675227484701E-2</v>
      </c>
      <c r="DU183" s="30">
        <v>6.1553740000000001</v>
      </c>
      <c r="DV183">
        <v>1.6</v>
      </c>
      <c r="DW183">
        <v>2.2999999999999998</v>
      </c>
      <c r="DX183">
        <v>107</v>
      </c>
      <c r="DY183">
        <v>107.5</v>
      </c>
      <c r="DZ183">
        <v>0.4</v>
      </c>
      <c r="EA183">
        <v>1.1000000000000001</v>
      </c>
      <c r="EB183">
        <v>1.4054869999999999</v>
      </c>
    </row>
    <row r="184" spans="1:132" ht="18">
      <c r="A184" s="14" t="s">
        <v>166</v>
      </c>
      <c r="B184" s="14">
        <v>1</v>
      </c>
      <c r="C184" s="14" t="s">
        <v>147</v>
      </c>
      <c r="D184" s="14" t="s">
        <v>162</v>
      </c>
      <c r="E184" s="14" t="s">
        <v>145</v>
      </c>
      <c r="F184" s="15">
        <v>5670</v>
      </c>
      <c r="G184" s="15">
        <v>3.7535830588929064</v>
      </c>
      <c r="I184" s="15"/>
      <c r="J184" s="16">
        <v>2217</v>
      </c>
      <c r="K184" s="16">
        <v>1</v>
      </c>
      <c r="L184" s="17">
        <v>8.1779239323265973E-2</v>
      </c>
      <c r="M184" s="18">
        <v>70</v>
      </c>
      <c r="N184" s="18">
        <v>70</v>
      </c>
      <c r="O184" s="18">
        <v>0.80824869190520165</v>
      </c>
      <c r="P184" s="18">
        <v>2</v>
      </c>
      <c r="Q184" s="18">
        <v>2</v>
      </c>
      <c r="R184" s="18">
        <v>70</v>
      </c>
      <c r="S184" s="18">
        <v>5</v>
      </c>
      <c r="T184" s="19">
        <v>16667</v>
      </c>
      <c r="U184" s="19">
        <v>4.2218574354191363</v>
      </c>
      <c r="V184" s="20">
        <v>36220</v>
      </c>
      <c r="W184" s="20">
        <v>4.5589484459780394</v>
      </c>
      <c r="X184" s="20">
        <v>0.58594192348135565</v>
      </c>
      <c r="Y184" s="20">
        <v>0.59907206930000001</v>
      </c>
      <c r="Z184" s="20">
        <f t="shared" si="60"/>
        <v>-0.2225209281673631</v>
      </c>
      <c r="AA184" s="20">
        <v>0.2748344371</v>
      </c>
      <c r="AB184" s="20"/>
      <c r="AC184" s="20">
        <v>29052</v>
      </c>
      <c r="AD184" s="21">
        <v>3309</v>
      </c>
      <c r="AE184" s="21">
        <f t="shared" si="69"/>
        <v>4.772619099130284E-2</v>
      </c>
      <c r="AF184" s="21">
        <f t="shared" si="70"/>
        <v>3.5196967671598531</v>
      </c>
      <c r="AG184" s="22">
        <v>2.888956196904793E-2</v>
      </c>
      <c r="AH184" s="22">
        <v>2003</v>
      </c>
      <c r="AI184" s="22">
        <v>2.9743223969999999</v>
      </c>
      <c r="AJ184" s="22">
        <v>61815</v>
      </c>
      <c r="AK184" s="23">
        <f t="shared" si="68"/>
        <v>4.7910938735802695</v>
      </c>
      <c r="AL184" s="24">
        <v>0.286620808</v>
      </c>
      <c r="AM184" s="22">
        <f>(39026-14020)+30307</f>
        <v>55313</v>
      </c>
      <c r="AN184" s="22">
        <f t="shared" ref="AN184:AN209" si="82">AM184/AR184</f>
        <v>0.79778748936292965</v>
      </c>
      <c r="AO184" s="23">
        <v>-0.40070507308684439</v>
      </c>
      <c r="AP184" s="23">
        <v>0.20419199594753809</v>
      </c>
      <c r="AQ184" s="23">
        <v>1.3100387143231456</v>
      </c>
      <c r="AR184" s="22">
        <v>69333</v>
      </c>
      <c r="AS184" s="23">
        <v>4.8409399922838396</v>
      </c>
      <c r="AT184" s="23">
        <f>LOG(44409.3)</f>
        <v>4.6474739276764172</v>
      </c>
      <c r="AU184" s="22">
        <v>2.625</v>
      </c>
      <c r="AV184" s="22">
        <v>1.4002853070000001</v>
      </c>
      <c r="AW184" s="22">
        <v>41.7</v>
      </c>
      <c r="AX184" s="22"/>
      <c r="AY184" s="22">
        <v>1</v>
      </c>
      <c r="AZ184" s="24">
        <v>58150</v>
      </c>
      <c r="BA184" s="24">
        <f t="shared" si="61"/>
        <v>4.7645497190644672</v>
      </c>
      <c r="BB184" s="24">
        <v>40574</v>
      </c>
      <c r="BC184" s="24">
        <f t="shared" si="62"/>
        <v>4.6082478248671235</v>
      </c>
      <c r="BD184" s="24">
        <v>17576</v>
      </c>
      <c r="BE184" s="22">
        <v>-23301</v>
      </c>
      <c r="BF184" s="22">
        <v>10525</v>
      </c>
      <c r="BG184" s="23">
        <v>9.3513993780541984</v>
      </c>
      <c r="BH184" s="23">
        <v>-0.33607373112370731</v>
      </c>
      <c r="BI184" s="23">
        <v>-5.1790953696635611E-2</v>
      </c>
      <c r="BJ184" s="23">
        <v>0.11396119707670152</v>
      </c>
      <c r="BK184" s="23">
        <v>5.4890431076487198</v>
      </c>
      <c r="BL184" s="22">
        <v>-13597</v>
      </c>
      <c r="BM184" s="22">
        <v>4670</v>
      </c>
      <c r="BN184" s="22"/>
      <c r="BO184" s="22">
        <v>3.6693168805661123</v>
      </c>
      <c r="BP184" s="22">
        <v>8.030954428202923E-2</v>
      </c>
      <c r="BQ184" s="22">
        <v>2.1532542285114205E-2</v>
      </c>
      <c r="BR184" s="22"/>
      <c r="BS184" s="22">
        <v>405</v>
      </c>
      <c r="BT184" s="22">
        <v>2.6074550232146687</v>
      </c>
      <c r="BU184" s="22">
        <v>5.8413742373761412E-3</v>
      </c>
      <c r="BV184" s="23">
        <v>3387</v>
      </c>
      <c r="BW184" s="22">
        <v>19632</v>
      </c>
      <c r="BX184" s="22">
        <v>7.68</v>
      </c>
      <c r="BY184" s="22">
        <v>0.88536122003151196</v>
      </c>
      <c r="BZ184" s="25">
        <v>-0.75016265452179576</v>
      </c>
      <c r="CA184" s="23">
        <v>2.9544256569681925E-2</v>
      </c>
      <c r="CB184" s="23">
        <v>2.9544256569681924</v>
      </c>
      <c r="CC184" s="23">
        <v>0.47047306618073892</v>
      </c>
      <c r="CD184" s="23">
        <v>9.8959300000000007E-3</v>
      </c>
      <c r="CE184" s="23">
        <v>3.4701428118871877E-2</v>
      </c>
      <c r="CF184" s="23">
        <v>7.4677623261694057</v>
      </c>
      <c r="CG184" s="23">
        <f t="shared" si="63"/>
        <v>2.0105953995395813</v>
      </c>
      <c r="CH184" s="26">
        <v>28.62</v>
      </c>
      <c r="CI184" s="26">
        <v>23.8</v>
      </c>
      <c r="CJ184" s="26">
        <v>1.4566696294237576</v>
      </c>
      <c r="CK184" s="26">
        <v>1.3765769570565121</v>
      </c>
      <c r="CL184" s="26">
        <v>0.20252100840336135</v>
      </c>
      <c r="CM184" s="27">
        <v>28.164291187739472</v>
      </c>
      <c r="CN184" s="27">
        <v>5.6821432935815153E-2</v>
      </c>
      <c r="CQ184" s="27">
        <v>125.09884615384618</v>
      </c>
      <c r="CR184" s="27">
        <v>0.13726223776223803</v>
      </c>
      <c r="CS184" s="27">
        <v>0.92386973180076593</v>
      </c>
      <c r="CT184" s="27">
        <v>1.0645593900000001</v>
      </c>
      <c r="CU184" s="27">
        <v>-0.12842478132003218</v>
      </c>
      <c r="CX184" s="36">
        <v>0.76</v>
      </c>
      <c r="CY184" s="28">
        <v>0.82</v>
      </c>
      <c r="CZ184" s="29">
        <v>37.275402300000003</v>
      </c>
      <c r="DA184" s="27">
        <v>0.32652677224199295</v>
      </c>
      <c r="DB184" s="27">
        <v>2.5105365885464708</v>
      </c>
      <c r="DC184" s="27">
        <v>1.25643310503606</v>
      </c>
      <c r="DD184" s="27">
        <v>1</v>
      </c>
      <c r="DE184" s="27">
        <v>1.5</v>
      </c>
      <c r="DF184" s="27">
        <v>87.3</v>
      </c>
      <c r="DG184" s="28">
        <v>4.4693504628455569</v>
      </c>
      <c r="DH184" s="27">
        <v>0.88536000000000004</v>
      </c>
      <c r="DI184" s="27">
        <v>2.5</v>
      </c>
      <c r="DJ184" s="27">
        <v>2.7</v>
      </c>
      <c r="DK184" s="27">
        <v>2.2999999999999998</v>
      </c>
      <c r="DL184" s="27">
        <v>1.1731637610823707E-2</v>
      </c>
      <c r="DM184" s="27">
        <v>0.95289999999999997</v>
      </c>
      <c r="DN184" s="28">
        <v>1.1605000000000001</v>
      </c>
      <c r="DO184" s="28">
        <v>9.3264248704663183E-2</v>
      </c>
      <c r="DP184" s="28">
        <f>(DM184-1.1242)/1.1242</f>
        <v>-0.15237502223803603</v>
      </c>
      <c r="DQ184" s="27">
        <v>0.20879999999999999</v>
      </c>
      <c r="DR184" s="27">
        <v>6.0688564775993471E-2</v>
      </c>
      <c r="DS184" s="27">
        <v>3.9305854754660308E-2</v>
      </c>
      <c r="DT184" s="27">
        <v>3.268886E-2</v>
      </c>
      <c r="DU184" s="30">
        <v>5.7817160000000003</v>
      </c>
      <c r="DV184">
        <v>0.9</v>
      </c>
      <c r="DW184">
        <v>2.8</v>
      </c>
      <c r="DX184">
        <v>84</v>
      </c>
      <c r="DY184">
        <v>80.900000000000006</v>
      </c>
      <c r="DZ184">
        <v>2.2000000000000002</v>
      </c>
      <c r="EA184">
        <v>3</v>
      </c>
      <c r="EB184">
        <v>1.701892</v>
      </c>
    </row>
    <row r="185" spans="1:132" ht="18">
      <c r="A185" s="14" t="s">
        <v>166</v>
      </c>
      <c r="B185" s="14">
        <v>2</v>
      </c>
      <c r="C185" s="14" t="s">
        <v>147</v>
      </c>
      <c r="D185" s="14" t="s">
        <v>162</v>
      </c>
      <c r="E185" s="14" t="s">
        <v>145</v>
      </c>
      <c r="F185" s="15">
        <v>1907</v>
      </c>
      <c r="G185" s="15">
        <v>3.2803506930460058</v>
      </c>
      <c r="I185" s="15"/>
      <c r="J185" s="16">
        <v>1834</v>
      </c>
      <c r="K185" s="16">
        <v>1</v>
      </c>
      <c r="L185" s="17">
        <v>3.4723233794610342E-2</v>
      </c>
      <c r="M185" s="18">
        <v>70</v>
      </c>
      <c r="N185" s="18">
        <v>70</v>
      </c>
      <c r="O185" s="18">
        <v>0.80824869190520165</v>
      </c>
      <c r="P185" s="18">
        <v>2</v>
      </c>
      <c r="Q185" s="18">
        <v>2</v>
      </c>
      <c r="R185" s="18">
        <v>70</v>
      </c>
      <c r="S185" s="18">
        <v>5</v>
      </c>
      <c r="T185" s="19">
        <v>9608</v>
      </c>
      <c r="U185" s="19">
        <v>3.9826329943948497</v>
      </c>
      <c r="V185" s="20">
        <v>34207</v>
      </c>
      <c r="W185" s="20">
        <v>4.5341149876438065</v>
      </c>
      <c r="X185" s="20">
        <v>0.61688698129880437</v>
      </c>
      <c r="Y185" s="20">
        <v>0.60625184889999995</v>
      </c>
      <c r="Z185" s="20">
        <f t="shared" si="60"/>
        <v>-0.21734692390993865</v>
      </c>
      <c r="AA185" s="20">
        <v>0.53887627699999996</v>
      </c>
      <c r="AB185" s="20"/>
      <c r="AC185" s="20">
        <v>24592</v>
      </c>
      <c r="AD185" s="21">
        <v>5359</v>
      </c>
      <c r="AE185" s="21">
        <f t="shared" si="69"/>
        <v>9.757829570284049E-2</v>
      </c>
      <c r="AF185" s="21">
        <f t="shared" si="70"/>
        <v>3.7290837570436119</v>
      </c>
      <c r="AG185" s="22">
        <v>3.0954115076474872E-3</v>
      </c>
      <c r="AH185" s="22">
        <v>170</v>
      </c>
      <c r="AI185" s="22">
        <v>3.1619558840000002</v>
      </c>
      <c r="AJ185" s="22">
        <v>55451</v>
      </c>
      <c r="AK185" s="23">
        <f t="shared" si="68"/>
        <v>4.7439093825963754</v>
      </c>
      <c r="AL185" s="24">
        <v>0.377050467</v>
      </c>
      <c r="AM185" s="22">
        <f>(32734-11923)+22186</f>
        <v>42997</v>
      </c>
      <c r="AN185" s="22">
        <f t="shared" si="82"/>
        <v>0.78290240349599416</v>
      </c>
      <c r="AO185" s="23">
        <v>-4.485519190016482E-2</v>
      </c>
      <c r="AP185" s="33">
        <v>2.4508009999999998E-3</v>
      </c>
      <c r="AQ185" s="23">
        <v>-0.61069195113492891</v>
      </c>
      <c r="AR185" s="22">
        <v>54920</v>
      </c>
      <c r="AS185" s="23">
        <v>4.7397305285647171</v>
      </c>
      <c r="AT185" s="23">
        <v>4.8409399922838396</v>
      </c>
      <c r="AU185" s="22">
        <v>2.44</v>
      </c>
      <c r="AV185" s="22">
        <v>1.209678772</v>
      </c>
      <c r="AW185" s="22">
        <v>37.700000000000003</v>
      </c>
      <c r="AX185" s="22">
        <v>41.7</v>
      </c>
      <c r="AY185" s="22">
        <v>1</v>
      </c>
      <c r="AZ185" s="24">
        <v>25482</v>
      </c>
      <c r="BA185" s="24">
        <f t="shared" si="61"/>
        <v>4.4062335113743227</v>
      </c>
      <c r="BB185" s="24">
        <v>15268</v>
      </c>
      <c r="BC185" s="24">
        <f t="shared" si="62"/>
        <v>4.183782151277061</v>
      </c>
      <c r="BD185" s="24">
        <v>10214</v>
      </c>
      <c r="BE185" s="22">
        <v>-1143</v>
      </c>
      <c r="BF185" s="22">
        <f>STDEVP(BE184:BE185)</f>
        <v>11079</v>
      </c>
      <c r="BG185" s="23">
        <v>-0.95094631131711083</v>
      </c>
      <c r="BH185" s="23">
        <v>-2.0812090313182811E-2</v>
      </c>
      <c r="BI185" s="23">
        <v>-0.33607373112370731</v>
      </c>
      <c r="BJ185" s="23">
        <v>0.11396119707670152</v>
      </c>
      <c r="BK185" s="23">
        <v>-0.93807284418334391</v>
      </c>
      <c r="BL185" s="22">
        <v>-23301</v>
      </c>
      <c r="BM185" s="22">
        <v>3886</v>
      </c>
      <c r="BN185" s="22">
        <f>STDEVP(BM184:BM185)</f>
        <v>392</v>
      </c>
      <c r="BO185" s="22">
        <v>3.5895027962637638</v>
      </c>
      <c r="BP185" s="22">
        <v>0.15249980378306255</v>
      </c>
      <c r="BQ185" s="22">
        <v>3.6095129750516639E-2</v>
      </c>
      <c r="BR185" s="22">
        <v>2.1532542285114205E-2</v>
      </c>
      <c r="BS185" s="22">
        <v>-3900</v>
      </c>
      <c r="BT185" s="22">
        <v>3.5910646070264991</v>
      </c>
      <c r="BU185" s="22">
        <v>7.101238164603059E-2</v>
      </c>
      <c r="BV185" s="23">
        <v>8213</v>
      </c>
      <c r="BW185" s="23">
        <v>14423</v>
      </c>
      <c r="BX185" s="22">
        <v>9.6199999999999992</v>
      </c>
      <c r="BY185" s="22">
        <v>0.98317507203781296</v>
      </c>
      <c r="BZ185" s="25">
        <v>0.25260416666666663</v>
      </c>
      <c r="CA185" s="23">
        <v>3.4701428118871877E-2</v>
      </c>
      <c r="CB185" s="23">
        <v>3.4701428118871878</v>
      </c>
      <c r="CC185" s="23">
        <v>0.54034734831775799</v>
      </c>
      <c r="CD185" s="23">
        <v>2.9544256569681925E-2</v>
      </c>
      <c r="CE185" s="23">
        <v>2.8415681358366092E-2</v>
      </c>
      <c r="CF185" s="23">
        <v>1.7865612648221343</v>
      </c>
      <c r="CG185" s="23">
        <f t="shared" si="63"/>
        <v>0.58029269110471093</v>
      </c>
      <c r="CH185" s="26">
        <v>18.309999999999999</v>
      </c>
      <c r="CI185" s="26">
        <v>28.62</v>
      </c>
      <c r="CJ185" s="26">
        <v>1.2626883443016965</v>
      </c>
      <c r="CK185" s="26">
        <v>1.4566696294237576</v>
      </c>
      <c r="CL185" s="26">
        <v>-0.36023759608665273</v>
      </c>
      <c r="CM185" s="27">
        <v>22.615402298850572</v>
      </c>
      <c r="CN185" s="27">
        <v>-0.19701858825065877</v>
      </c>
      <c r="CQ185" s="27">
        <v>115.89653846153851</v>
      </c>
      <c r="CR185" s="27">
        <v>-7.3560292322686169E-2</v>
      </c>
      <c r="CS185" s="27">
        <v>0.92888888888888932</v>
      </c>
      <c r="CT185" s="27">
        <v>0.92386973180076604</v>
      </c>
      <c r="CU185" s="27">
        <v>5.4327541160378483E-3</v>
      </c>
      <c r="CX185" s="36">
        <v>0.66</v>
      </c>
      <c r="CY185" s="28">
        <v>0.76</v>
      </c>
      <c r="CZ185" s="29">
        <v>31.998965519999999</v>
      </c>
      <c r="DA185" s="27">
        <v>-0.14155277889515908</v>
      </c>
      <c r="DB185" s="27">
        <v>2.6347679627304119</v>
      </c>
      <c r="DC185" s="27">
        <v>2.5105365885464708</v>
      </c>
      <c r="DD185" s="27">
        <v>1</v>
      </c>
      <c r="DE185" s="27">
        <v>1.8</v>
      </c>
      <c r="DF185" s="27">
        <v>88.9</v>
      </c>
      <c r="DG185" s="28">
        <v>4.4875121425198587</v>
      </c>
      <c r="DH185" s="27">
        <v>0.90083999999999997</v>
      </c>
      <c r="DI185" s="27">
        <v>2.4</v>
      </c>
      <c r="DJ185" s="27">
        <v>2.2000000000000002</v>
      </c>
      <c r="DK185" s="27">
        <v>2</v>
      </c>
      <c r="DL185" s="27">
        <v>1.6216043547496031E-2</v>
      </c>
      <c r="DM185" s="27">
        <v>0.79400000000000004</v>
      </c>
      <c r="DN185" s="28">
        <v>1.1231</v>
      </c>
      <c r="DO185" s="28">
        <v>-3.2227488151658851E-2</v>
      </c>
      <c r="DP185" s="28">
        <f>(DM185-DM184)/DM184</f>
        <v>-0.16675411900514214</v>
      </c>
      <c r="DQ185" s="27">
        <v>0.17130000000000001</v>
      </c>
      <c r="DR185" s="27">
        <v>3.9305854754660308E-2</v>
      </c>
      <c r="DS185" s="27">
        <v>2.6867542601332471E-2</v>
      </c>
      <c r="DT185" s="27">
        <v>6.0688564775993471E-2</v>
      </c>
      <c r="DU185" s="30">
        <v>5.9865389999999996</v>
      </c>
      <c r="DV185">
        <v>0.9</v>
      </c>
      <c r="DW185">
        <v>2.8</v>
      </c>
      <c r="DX185">
        <v>85.7</v>
      </c>
      <c r="DY185">
        <v>82.9</v>
      </c>
      <c r="DZ185">
        <v>2.4</v>
      </c>
      <c r="EA185">
        <v>2</v>
      </c>
      <c r="EB185">
        <v>1.4781599999999999</v>
      </c>
    </row>
    <row r="186" spans="1:132" ht="18">
      <c r="A186" s="14" t="s">
        <v>166</v>
      </c>
      <c r="B186" s="14">
        <v>3</v>
      </c>
      <c r="C186" s="14" t="s">
        <v>147</v>
      </c>
      <c r="D186" s="14" t="s">
        <v>162</v>
      </c>
      <c r="E186" s="14" t="s">
        <v>145</v>
      </c>
      <c r="F186" s="15">
        <v>2963</v>
      </c>
      <c r="G186" s="15">
        <v>3.4717316514800509</v>
      </c>
      <c r="I186" s="15"/>
      <c r="J186" s="16">
        <v>2870</v>
      </c>
      <c r="K186" s="16">
        <v>1</v>
      </c>
      <c r="L186" s="17">
        <v>6.8448530770652369E-2</v>
      </c>
      <c r="M186" s="18">
        <v>70</v>
      </c>
      <c r="N186" s="18">
        <v>70</v>
      </c>
      <c r="O186" s="18">
        <v>0.80824869190520165</v>
      </c>
      <c r="P186" s="18">
        <v>2</v>
      </c>
      <c r="Q186" s="18">
        <v>2</v>
      </c>
      <c r="R186" s="18">
        <v>70</v>
      </c>
      <c r="S186" s="18">
        <v>5</v>
      </c>
      <c r="T186" s="19">
        <v>6604</v>
      </c>
      <c r="U186" s="19">
        <v>3.8198070645907558</v>
      </c>
      <c r="V186" s="20">
        <v>18710</v>
      </c>
      <c r="W186" s="20">
        <v>4.2720737875000099</v>
      </c>
      <c r="X186" s="20">
        <v>0.49358940537118134</v>
      </c>
      <c r="Y186" s="20">
        <v>0.45274954890000002</v>
      </c>
      <c r="Z186" s="20">
        <f t="shared" si="60"/>
        <v>-0.34414197372586064</v>
      </c>
      <c r="AA186" s="20">
        <v>0.32063026750000001</v>
      </c>
      <c r="AB186" s="20"/>
      <c r="AC186" s="20">
        <v>14301</v>
      </c>
      <c r="AD186" s="21">
        <v>818</v>
      </c>
      <c r="AE186" s="21">
        <f t="shared" si="69"/>
        <v>1.8896691923858806E-2</v>
      </c>
      <c r="AF186" s="21">
        <f t="shared" si="70"/>
        <v>2.9127533036713231</v>
      </c>
      <c r="AG186" s="22">
        <v>4.5278137128072441E-3</v>
      </c>
      <c r="AH186" s="22">
        <v>196</v>
      </c>
      <c r="AI186" s="22">
        <v>1.8500844279999999</v>
      </c>
      <c r="AJ186" s="22">
        <v>37906</v>
      </c>
      <c r="AK186" s="23">
        <f t="shared" si="68"/>
        <v>4.5787079582702344</v>
      </c>
      <c r="AL186" s="24">
        <v>0.30819488499999997</v>
      </c>
      <c r="AM186" s="22">
        <f>(28291-13621)+14997</f>
        <v>29667</v>
      </c>
      <c r="AN186" s="22">
        <f t="shared" si="82"/>
        <v>0.68534004805026794</v>
      </c>
      <c r="AO186" s="23">
        <v>3.4767593802501398E-2</v>
      </c>
      <c r="AP186" s="33">
        <v>6.11234E-3</v>
      </c>
      <c r="AQ186" s="23">
        <v>-0.21379249605262821</v>
      </c>
      <c r="AR186" s="22">
        <v>43288</v>
      </c>
      <c r="AS186" s="23">
        <v>4.6363675209245256</v>
      </c>
      <c r="AT186" s="23">
        <v>4.7397305285647171</v>
      </c>
      <c r="AU186" s="22">
        <v>1.48</v>
      </c>
      <c r="AV186" s="22">
        <v>0.46200719480000002</v>
      </c>
      <c r="AW186" s="22">
        <v>25.2</v>
      </c>
      <c r="AX186" s="22">
        <v>37.700000000000003</v>
      </c>
      <c r="AY186" s="22">
        <v>1</v>
      </c>
      <c r="AZ186" s="24">
        <v>21428</v>
      </c>
      <c r="BA186" s="24">
        <f t="shared" si="61"/>
        <v>4.3309816377008215</v>
      </c>
      <c r="BB186" s="24">
        <v>11633</v>
      </c>
      <c r="BC186" s="24">
        <f t="shared" si="62"/>
        <v>4.0656917280932712</v>
      </c>
      <c r="BD186" s="24">
        <v>9795</v>
      </c>
      <c r="BE186" s="22">
        <v>745</v>
      </c>
      <c r="BF186" s="22">
        <f t="shared" ref="BF186:BF196" si="83">STDEVP(BE185:BE186)</f>
        <v>944</v>
      </c>
      <c r="BG186" s="23">
        <v>-1.6517935258092737</v>
      </c>
      <c r="BH186" s="23">
        <v>1.7210312326741823E-2</v>
      </c>
      <c r="BI186" s="23">
        <v>-2.0812090313182811E-2</v>
      </c>
      <c r="BJ186" s="23">
        <v>0.11396119707670152</v>
      </c>
      <c r="BK186" s="23">
        <v>-1.8269381915876299</v>
      </c>
      <c r="BL186" s="22">
        <v>-1143</v>
      </c>
      <c r="BM186" s="22">
        <v>4798</v>
      </c>
      <c r="BN186" s="22">
        <f t="shared" ref="BN186:BN195" si="84">STDEVP(BM185:BM186)</f>
        <v>456</v>
      </c>
      <c r="BO186" s="22">
        <v>3.6810602436318116</v>
      </c>
      <c r="BP186" s="22">
        <v>0.22391263767033787</v>
      </c>
      <c r="BQ186" s="22">
        <v>3.5706416943637624E-2</v>
      </c>
      <c r="BR186" s="22">
        <v>3.6095129750516639E-2</v>
      </c>
      <c r="BS186" s="22">
        <v>2986</v>
      </c>
      <c r="BT186" s="22">
        <v>3.4750898033890065</v>
      </c>
      <c r="BU186" s="22">
        <v>6.8979855849196081E-2</v>
      </c>
      <c r="BV186" s="23">
        <v>4531</v>
      </c>
      <c r="BW186" s="22">
        <v>6293</v>
      </c>
      <c r="BX186" s="22">
        <v>11.72</v>
      </c>
      <c r="BY186" s="22">
        <v>1.0689276116820718</v>
      </c>
      <c r="BZ186" s="25">
        <v>0.21829521829521847</v>
      </c>
      <c r="CA186" s="23">
        <v>2.8415681358366092E-2</v>
      </c>
      <c r="CB186" s="23">
        <v>2.8415681358366092</v>
      </c>
      <c r="CC186" s="23">
        <v>0.45355807412809596</v>
      </c>
      <c r="CD186" s="23">
        <v>3.4701428118871877E-2</v>
      </c>
      <c r="CE186" s="23">
        <v>1.8091860620457454E-2</v>
      </c>
      <c r="CF186" s="23">
        <v>1.2633390705679863</v>
      </c>
      <c r="CG186" s="23">
        <f t="shared" si="63"/>
        <v>0.23375827176260444</v>
      </c>
      <c r="CH186" s="26">
        <v>13.29</v>
      </c>
      <c r="CI186" s="26">
        <v>18.309999999999999</v>
      </c>
      <c r="CJ186" s="26">
        <v>1.1235249809427319</v>
      </c>
      <c r="CK186" s="26">
        <v>1.2626883443016965</v>
      </c>
      <c r="CL186" s="26">
        <v>-0.27416712179137082</v>
      </c>
      <c r="CM186" s="27">
        <v>16.030268199233717</v>
      </c>
      <c r="CN186" s="27">
        <v>-0.29117917128326054</v>
      </c>
      <c r="CQ186" s="27">
        <v>102.09153846153851</v>
      </c>
      <c r="CR186" s="27">
        <v>-0.11911486040268011</v>
      </c>
      <c r="CS186" s="27">
        <v>0.9859003831417622</v>
      </c>
      <c r="CT186" s="27">
        <v>0.92888888888888899</v>
      </c>
      <c r="CU186" s="27">
        <v>6.1376010559312889E-2</v>
      </c>
      <c r="CV186" s="27">
        <v>1.140877862595419</v>
      </c>
      <c r="CW186" s="27">
        <v>2.0572391532349976</v>
      </c>
      <c r="CX186" s="36">
        <v>1.07</v>
      </c>
      <c r="CY186" s="28">
        <v>0.66</v>
      </c>
      <c r="CZ186" s="29">
        <v>18.886297710000001</v>
      </c>
      <c r="DA186" s="27">
        <v>-0.40978411635852152</v>
      </c>
      <c r="DB186" s="27">
        <v>266.87708664986224</v>
      </c>
      <c r="DC186" s="27">
        <v>2.6347679627304119</v>
      </c>
      <c r="DD186" s="27">
        <v>1</v>
      </c>
      <c r="DE186" s="27">
        <v>2</v>
      </c>
      <c r="DF186" s="27">
        <v>90.4</v>
      </c>
      <c r="DG186" s="28">
        <v>4.5042442673981311</v>
      </c>
      <c r="DH186" s="27">
        <v>0.91725999999999996</v>
      </c>
      <c r="DI186" s="27">
        <v>2.2999999999999998</v>
      </c>
      <c r="DJ186" s="27">
        <v>2.4</v>
      </c>
      <c r="DK186" s="27">
        <v>2.1</v>
      </c>
      <c r="DL186" s="27">
        <v>1.3035848693861207E-2</v>
      </c>
      <c r="DM186" s="27">
        <v>0.73780000000000001</v>
      </c>
      <c r="DN186" s="28">
        <v>0.95269999999999999</v>
      </c>
      <c r="DO186" s="28">
        <v>-0.15172290980322323</v>
      </c>
      <c r="DP186" s="28">
        <f t="shared" ref="DP186:DP196" si="85">(DM186-DM185)/DM185</f>
        <v>-7.0780856423173832E-2</v>
      </c>
      <c r="DQ186" s="27">
        <v>0.11370000000000002</v>
      </c>
      <c r="DR186" s="27">
        <v>2.6867542601332471E-2</v>
      </c>
      <c r="DS186" s="27">
        <v>3.2347817198611614E-2</v>
      </c>
      <c r="DT186" s="27">
        <v>3.9305854754660308E-2</v>
      </c>
      <c r="DU186" s="30">
        <v>5.5230399999999999</v>
      </c>
      <c r="DV186">
        <v>0.3</v>
      </c>
      <c r="DW186">
        <v>2.6</v>
      </c>
      <c r="DX186">
        <v>88</v>
      </c>
      <c r="DY186">
        <v>85.1</v>
      </c>
      <c r="DZ186">
        <v>2</v>
      </c>
      <c r="EA186">
        <v>1.5</v>
      </c>
      <c r="EB186">
        <v>1.913224</v>
      </c>
    </row>
    <row r="187" spans="1:132" ht="18">
      <c r="A187" s="14" t="s">
        <v>166</v>
      </c>
      <c r="B187" s="14">
        <v>4</v>
      </c>
      <c r="C187" s="14" t="s">
        <v>147</v>
      </c>
      <c r="D187" s="14" t="s">
        <v>162</v>
      </c>
      <c r="E187" s="14" t="s">
        <v>145</v>
      </c>
      <c r="F187" s="15">
        <v>2887</v>
      </c>
      <c r="G187" s="15">
        <v>3.4604467838807205</v>
      </c>
      <c r="I187" s="15"/>
      <c r="J187" s="16">
        <v>2844</v>
      </c>
      <c r="K187" s="16">
        <v>1</v>
      </c>
      <c r="L187" s="17">
        <v>6.4901198210552347E-2</v>
      </c>
      <c r="M187" s="18">
        <v>70</v>
      </c>
      <c r="N187" s="18">
        <v>70</v>
      </c>
      <c r="O187" s="18">
        <v>0.80824869190520165</v>
      </c>
      <c r="P187" s="18">
        <v>2</v>
      </c>
      <c r="Q187" s="18">
        <v>2</v>
      </c>
      <c r="R187" s="18">
        <v>70</v>
      </c>
      <c r="S187" s="18">
        <v>5</v>
      </c>
      <c r="T187" s="19">
        <v>5335</v>
      </c>
      <c r="U187" s="19">
        <v>3.7271344237604889</v>
      </c>
      <c r="V187" s="20">
        <v>17679</v>
      </c>
      <c r="W187" s="20">
        <v>4.2474576958148118</v>
      </c>
      <c r="X187" s="20">
        <v>0.51949692927037117</v>
      </c>
      <c r="Y187" s="20">
        <v>0.46804361770000003</v>
      </c>
      <c r="Z187" s="20">
        <f t="shared" si="60"/>
        <v>-0.32971367247344913</v>
      </c>
      <c r="AA187" s="20">
        <v>0.2074997381</v>
      </c>
      <c r="AB187" s="20"/>
      <c r="AC187" s="20">
        <v>18242</v>
      </c>
      <c r="AD187" s="21">
        <v>470</v>
      </c>
      <c r="AE187" s="21">
        <f t="shared" si="69"/>
        <v>1.0565834138884518E-2</v>
      </c>
      <c r="AF187" s="21">
        <f t="shared" si="70"/>
        <v>2.6720978579357175</v>
      </c>
      <c r="AG187" s="22">
        <v>5.1480340804352228E-3</v>
      </c>
      <c r="AH187" s="22">
        <f>43+186</f>
        <v>229</v>
      </c>
      <c r="AI187" s="22">
        <v>3.2626804890000001</v>
      </c>
      <c r="AJ187" s="22">
        <v>34031</v>
      </c>
      <c r="AK187" s="23">
        <f t="shared" si="68"/>
        <v>4.5318747110147335</v>
      </c>
      <c r="AL187" s="24">
        <v>0.27381441200000001</v>
      </c>
      <c r="AM187" s="22">
        <f>10583+12292</f>
        <v>22875</v>
      </c>
      <c r="AN187" s="22">
        <f t="shared" si="82"/>
        <v>0.51424139558932624</v>
      </c>
      <c r="AO187" s="23">
        <v>0.21894888113323752</v>
      </c>
      <c r="AP187" s="33">
        <v>1.818225E-2</v>
      </c>
      <c r="AQ187" s="23">
        <v>0.25964762487721865</v>
      </c>
      <c r="AR187" s="22">
        <v>44483</v>
      </c>
      <c r="AS187" s="23">
        <v>4.6481940690306223</v>
      </c>
      <c r="AT187" s="23">
        <v>4.6363675209245256</v>
      </c>
      <c r="AU187" s="22">
        <v>1.7170000000000001</v>
      </c>
      <c r="AV187" s="22">
        <v>0.31284709370000002</v>
      </c>
      <c r="AW187" s="22">
        <v>70.5</v>
      </c>
      <c r="AX187" s="22">
        <v>25.2</v>
      </c>
      <c r="AY187" s="22">
        <v>2</v>
      </c>
      <c r="AZ187" s="24">
        <v>19484</v>
      </c>
      <c r="BA187" s="24">
        <f t="shared" si="61"/>
        <v>4.2896781208997323</v>
      </c>
      <c r="BB187" s="24">
        <v>9898</v>
      </c>
      <c r="BC187" s="24">
        <f t="shared" si="62"/>
        <v>3.9955474494751373</v>
      </c>
      <c r="BD187" s="24">
        <v>9586</v>
      </c>
      <c r="BE187" s="22">
        <v>4266</v>
      </c>
      <c r="BF187" s="22">
        <f t="shared" si="83"/>
        <v>1760.5</v>
      </c>
      <c r="BG187" s="23">
        <v>4.7261744966442949</v>
      </c>
      <c r="BH187" s="23">
        <v>9.5901805184002875E-2</v>
      </c>
      <c r="BI187" s="23">
        <v>1.7210312326741823E-2</v>
      </c>
      <c r="BJ187" s="23">
        <v>0.11396119707670152</v>
      </c>
      <c r="BK187" s="23">
        <v>4.5723454265840493</v>
      </c>
      <c r="BL187" s="22">
        <v>745</v>
      </c>
      <c r="BM187" s="22">
        <v>3670</v>
      </c>
      <c r="BN187" s="22">
        <f t="shared" si="84"/>
        <v>564</v>
      </c>
      <c r="BO187" s="22">
        <v>3.5646660642520893</v>
      </c>
      <c r="BP187" s="22">
        <v>0.18835967973722029</v>
      </c>
      <c r="BQ187" s="22">
        <v>1.777647896655879E-2</v>
      </c>
      <c r="BR187" s="22">
        <v>3.5706416943637624E-2</v>
      </c>
      <c r="BS187" s="22">
        <v>-2225</v>
      </c>
      <c r="BT187" s="22">
        <v>3.3473300153169503</v>
      </c>
      <c r="BU187" s="22">
        <v>5.0019108423442663E-2</v>
      </c>
      <c r="BV187" s="23">
        <v>3964</v>
      </c>
      <c r="BW187" s="22">
        <v>6760</v>
      </c>
      <c r="BX187" s="22">
        <v>13.55</v>
      </c>
      <c r="BY187" s="22">
        <v>1.1319392952104246</v>
      </c>
      <c r="BZ187" s="25">
        <v>0.1561433447098976</v>
      </c>
      <c r="CA187" s="23">
        <v>1.8091860620457454E-2</v>
      </c>
      <c r="CB187" s="23">
        <v>1.8091860620457454</v>
      </c>
      <c r="CC187" s="23">
        <v>0.25748323328572131</v>
      </c>
      <c r="CD187" s="23">
        <v>2.8415681358366092E-2</v>
      </c>
      <c r="CE187" s="23">
        <v>1.6391908430144698E-2</v>
      </c>
      <c r="CF187" s="23">
        <v>1.2248062015503876</v>
      </c>
      <c r="CG187" s="23">
        <f t="shared" si="63"/>
        <v>0.20278262866529465</v>
      </c>
      <c r="CH187" s="26">
        <v>12.07</v>
      </c>
      <c r="CI187" s="26">
        <v>13.29</v>
      </c>
      <c r="CJ187" s="26">
        <v>1.0817072700973491</v>
      </c>
      <c r="CK187" s="26">
        <v>1.1235249809427319</v>
      </c>
      <c r="CL187" s="26">
        <v>-9.1798344620014974E-2</v>
      </c>
      <c r="CM187" s="27">
        <v>13.248115384615385</v>
      </c>
      <c r="CN187" s="27">
        <v>-0.17355622376619531</v>
      </c>
      <c r="CQ187" s="27">
        <v>81.715444015443992</v>
      </c>
      <c r="CR187" s="27">
        <v>-0.1995865157206041</v>
      </c>
      <c r="CS187" s="27">
        <v>0.91873076923076902</v>
      </c>
      <c r="CT187" s="27">
        <v>0.9859003831417622</v>
      </c>
      <c r="CU187" s="27">
        <v>-6.8130223965370842E-2</v>
      </c>
      <c r="CV187" s="27">
        <v>1.0315769230769232</v>
      </c>
      <c r="CW187" s="27">
        <v>2.0135016181765906</v>
      </c>
      <c r="CX187" s="36">
        <v>0.94</v>
      </c>
      <c r="CY187" s="28">
        <v>1.07</v>
      </c>
      <c r="CZ187" s="29">
        <v>14.03142308</v>
      </c>
      <c r="DA187" s="27">
        <v>-0.25705803776615366</v>
      </c>
      <c r="DB187" s="27">
        <v>1.72976924253802</v>
      </c>
      <c r="DC187" s="27">
        <v>266.87708664986224</v>
      </c>
      <c r="DD187" s="27">
        <v>1</v>
      </c>
      <c r="DE187" s="27">
        <v>1.2</v>
      </c>
      <c r="DF187" s="27">
        <v>92.1</v>
      </c>
      <c r="DG187" s="28">
        <v>4.5228749432612609</v>
      </c>
      <c r="DH187" s="27">
        <v>0.93069000000000002</v>
      </c>
      <c r="DI187" s="27">
        <v>2.2000000000000002</v>
      </c>
      <c r="DJ187" s="27">
        <v>1.4</v>
      </c>
      <c r="DK187" s="27">
        <v>1.5</v>
      </c>
      <c r="DL187" s="27">
        <v>8.4498661866614921E-3</v>
      </c>
      <c r="DM187" s="27">
        <v>0.84399999999999997</v>
      </c>
      <c r="DN187" s="28">
        <v>0.79300000000000004</v>
      </c>
      <c r="DO187" s="28">
        <v>-0.167628844337147</v>
      </c>
      <c r="DP187" s="28">
        <f t="shared" si="85"/>
        <v>0.14394144754676058</v>
      </c>
      <c r="DQ187" s="27">
        <v>0.11509999999999998</v>
      </c>
      <c r="DR187" s="27">
        <v>3.2347817198611614E-2</v>
      </c>
      <c r="DS187" s="27">
        <v>2.4490842135800685E-2</v>
      </c>
      <c r="DT187" s="27">
        <v>2.6867542601332471E-2</v>
      </c>
      <c r="DU187" s="30">
        <v>5.0767810000000004</v>
      </c>
      <c r="DV187">
        <v>-0.3</v>
      </c>
      <c r="DW187">
        <v>0.7</v>
      </c>
      <c r="DX187">
        <v>90.9</v>
      </c>
      <c r="DY187">
        <v>87.4</v>
      </c>
      <c r="DZ187">
        <v>1.6</v>
      </c>
      <c r="EA187">
        <v>1</v>
      </c>
      <c r="EB187">
        <v>2.1595819999999999</v>
      </c>
    </row>
    <row r="188" spans="1:132" ht="18">
      <c r="A188" s="14" t="s">
        <v>166</v>
      </c>
      <c r="B188" s="14">
        <v>5</v>
      </c>
      <c r="C188" s="14" t="s">
        <v>147</v>
      </c>
      <c r="D188" s="14" t="s">
        <v>162</v>
      </c>
      <c r="E188" s="14" t="s">
        <v>145</v>
      </c>
      <c r="F188" s="15">
        <v>1178</v>
      </c>
      <c r="G188" s="15">
        <v>3.0711452904510828</v>
      </c>
      <c r="I188" s="15"/>
      <c r="J188" s="16"/>
      <c r="K188" s="16"/>
      <c r="L188" s="17">
        <v>2.7364802081397511E-2</v>
      </c>
      <c r="M188" s="18">
        <v>70</v>
      </c>
      <c r="N188" s="18">
        <v>70</v>
      </c>
      <c r="O188" s="18">
        <v>0.80824869190520165</v>
      </c>
      <c r="P188" s="18">
        <v>2</v>
      </c>
      <c r="Q188" s="18">
        <v>2</v>
      </c>
      <c r="R188" s="18">
        <v>70</v>
      </c>
      <c r="S188" s="18">
        <v>5</v>
      </c>
      <c r="T188" s="19">
        <v>5591</v>
      </c>
      <c r="U188" s="19">
        <v>3.7474894922586728</v>
      </c>
      <c r="V188" s="20">
        <v>18225</v>
      </c>
      <c r="W188" s="20">
        <v>4.2606675369900122</v>
      </c>
      <c r="X188" s="20">
        <v>0.52530696950481348</v>
      </c>
      <c r="Y188" s="20">
        <v>0.47212493840000003</v>
      </c>
      <c r="Z188" s="20">
        <f t="shared" si="60"/>
        <v>-0.3259430588285262</v>
      </c>
      <c r="AA188" s="20">
        <v>0.20752152239999999</v>
      </c>
      <c r="AB188" s="20"/>
      <c r="AC188" s="20">
        <v>18199</v>
      </c>
      <c r="AD188" s="21">
        <v>446</v>
      </c>
      <c r="AE188" s="21">
        <f t="shared" si="69"/>
        <v>1.0360527782939975E-2</v>
      </c>
      <c r="AF188" s="21">
        <f t="shared" si="70"/>
        <v>2.6493348587121419</v>
      </c>
      <c r="AG188" s="22">
        <v>5.9236201449544695E-3</v>
      </c>
      <c r="AH188" s="22">
        <v>255</v>
      </c>
      <c r="AI188" s="22">
        <v>1.920965971</v>
      </c>
      <c r="AJ188" s="22">
        <v>34694</v>
      </c>
      <c r="AK188" s="23">
        <f t="shared" si="68"/>
        <v>4.5402543741511092</v>
      </c>
      <c r="AL188" s="24">
        <v>0.27893634</v>
      </c>
      <c r="AM188" s="22">
        <f>8441+12743</f>
        <v>21184</v>
      </c>
      <c r="AN188" s="22">
        <f t="shared" si="82"/>
        <v>0.49210183980672739</v>
      </c>
      <c r="AO188" s="23">
        <v>0.25908002394731589</v>
      </c>
      <c r="AP188" s="33">
        <v>1.9736066E-2</v>
      </c>
      <c r="AQ188" s="23">
        <v>0.29526058882196532</v>
      </c>
      <c r="AR188" s="22">
        <v>43048</v>
      </c>
      <c r="AS188" s="23">
        <v>4.6339529790384377</v>
      </c>
      <c r="AT188" s="23">
        <v>4.6481940690306223</v>
      </c>
      <c r="AU188" s="22">
        <v>0.76</v>
      </c>
      <c r="AV188" s="22">
        <v>0.33456824000000002</v>
      </c>
      <c r="AW188" s="22">
        <v>42</v>
      </c>
      <c r="AX188" s="22">
        <v>70.5</v>
      </c>
      <c r="AY188" s="22">
        <v>1</v>
      </c>
      <c r="AZ188" s="24">
        <v>20044</v>
      </c>
      <c r="BA188" s="24">
        <f t="shared" si="61"/>
        <v>4.3019843940704394</v>
      </c>
      <c r="BB188" s="24">
        <v>10146</v>
      </c>
      <c r="BC188" s="24">
        <f t="shared" si="62"/>
        <v>4.0062948579813851</v>
      </c>
      <c r="BD188" s="24">
        <v>9898</v>
      </c>
      <c r="BE188" s="22">
        <v>5193</v>
      </c>
      <c r="BF188" s="22">
        <f t="shared" si="83"/>
        <v>463.5</v>
      </c>
      <c r="BG188" s="23">
        <v>0.21729957805907174</v>
      </c>
      <c r="BH188" s="23">
        <v>0.12063278201077866</v>
      </c>
      <c r="BI188" s="23">
        <v>9.5901805184002875E-2</v>
      </c>
      <c r="BJ188" s="23">
        <v>0.11396119707670152</v>
      </c>
      <c r="BK188" s="23">
        <v>0.25787811584281939</v>
      </c>
      <c r="BL188" s="22">
        <v>4266</v>
      </c>
      <c r="BM188" s="22">
        <v>4425</v>
      </c>
      <c r="BN188" s="22">
        <f t="shared" si="84"/>
        <v>377.5</v>
      </c>
      <c r="BO188" s="22">
        <v>3.6459132750338443</v>
      </c>
      <c r="BP188" s="22">
        <v>0.22076431849930153</v>
      </c>
      <c r="BQ188" s="22">
        <v>1.6202319381040622E-2</v>
      </c>
      <c r="BR188" s="22">
        <v>1.777647896655879E-2</v>
      </c>
      <c r="BS188" s="22">
        <v>-3420</v>
      </c>
      <c r="BT188" s="22">
        <v>3.5340261060561349</v>
      </c>
      <c r="BU188" s="22">
        <v>7.9446199591154065E-2</v>
      </c>
      <c r="BV188" s="23">
        <v>4899</v>
      </c>
      <c r="BW188" s="22">
        <v>7315</v>
      </c>
      <c r="BX188" s="22">
        <v>15.72</v>
      </c>
      <c r="BY188" s="22">
        <v>1.1964525417033891</v>
      </c>
      <c r="BZ188" s="25">
        <v>0.16014760147601476</v>
      </c>
      <c r="CA188" s="23">
        <v>1.6391908430144698E-2</v>
      </c>
      <c r="CB188" s="23">
        <v>1.6391908430144697</v>
      </c>
      <c r="CC188" s="23">
        <v>0.21462951930761243</v>
      </c>
      <c r="CD188" s="23">
        <v>1.8091860620457454E-2</v>
      </c>
      <c r="CE188" s="23">
        <v>3.535605482629562E-2</v>
      </c>
      <c r="CF188" s="23">
        <v>1.2384310268840899</v>
      </c>
      <c r="CG188" s="23">
        <f t="shared" si="63"/>
        <v>0.21384527754794971</v>
      </c>
      <c r="CH188" s="26">
        <v>11.56</v>
      </c>
      <c r="CI188" s="26">
        <v>12.07</v>
      </c>
      <c r="CJ188" s="26">
        <v>1.0629578340845103</v>
      </c>
      <c r="CK188" s="26">
        <v>1.0817072700973491</v>
      </c>
      <c r="CL188" s="26">
        <v>-4.2253521126760542E-2</v>
      </c>
      <c r="CM188" s="27">
        <v>13.296884615384608</v>
      </c>
      <c r="CN188" s="27">
        <v>3.681220260646025E-3</v>
      </c>
      <c r="CQ188" s="27">
        <v>67.989575289575299</v>
      </c>
      <c r="CR188" s="27">
        <v>-0.167971536975</v>
      </c>
      <c r="CS188" s="27">
        <v>0.84238461538461584</v>
      </c>
      <c r="CT188" s="27">
        <v>0.91873076923076902</v>
      </c>
      <c r="CU188" s="27">
        <v>-8.3099593921379125E-2</v>
      </c>
      <c r="CV188" s="27">
        <v>0.92230769230769172</v>
      </c>
      <c r="CW188" s="27">
        <v>1.9648758307920116</v>
      </c>
      <c r="CX188" s="36">
        <v>0.56000000000000005</v>
      </c>
      <c r="CY188" s="28">
        <v>0.94</v>
      </c>
      <c r="CZ188" s="29">
        <v>16.52657692</v>
      </c>
      <c r="DA188" s="27">
        <v>0.17782614249273998</v>
      </c>
      <c r="DB188" s="27">
        <v>1.322681365714484</v>
      </c>
      <c r="DC188" s="27">
        <v>1.72976924253802</v>
      </c>
      <c r="DD188" s="27">
        <v>1</v>
      </c>
      <c r="DE188" s="27">
        <v>0.7</v>
      </c>
      <c r="DF188" s="27">
        <v>94.1</v>
      </c>
      <c r="DG188" s="28">
        <v>4.5443580465913342</v>
      </c>
      <c r="DH188" s="27">
        <v>0.94418000000000002</v>
      </c>
      <c r="DI188" s="27">
        <v>1.9</v>
      </c>
      <c r="DJ188" s="27">
        <v>1.6</v>
      </c>
      <c r="DK188" s="27">
        <v>1.8</v>
      </c>
      <c r="DL188" s="27">
        <v>7.6672365931182819E-3</v>
      </c>
      <c r="DM188" s="27">
        <v>0.75770000000000004</v>
      </c>
      <c r="DN188" s="28">
        <v>0.74250000000000005</v>
      </c>
      <c r="DO188" s="28">
        <v>-6.3682219419924316E-2</v>
      </c>
      <c r="DP188" s="28">
        <f t="shared" si="85"/>
        <v>-0.10225118483412314</v>
      </c>
      <c r="DQ188" s="27">
        <v>9.7799999999999998E-2</v>
      </c>
      <c r="DR188" s="27">
        <v>2.4490842135800685E-2</v>
      </c>
      <c r="DS188" s="27">
        <v>2.77430650961079E-2</v>
      </c>
      <c r="DT188" s="27">
        <v>3.2347817198611614E-2</v>
      </c>
      <c r="DU188" s="30">
        <v>4.6174650000000002</v>
      </c>
      <c r="DV188">
        <v>-0.5</v>
      </c>
      <c r="DW188">
        <v>-0.4</v>
      </c>
      <c r="DX188">
        <v>93.7</v>
      </c>
      <c r="DY188">
        <v>89.8</v>
      </c>
      <c r="DZ188">
        <v>1.6</v>
      </c>
      <c r="EA188">
        <v>1.7</v>
      </c>
      <c r="EB188">
        <v>2.2385109999999999</v>
      </c>
    </row>
    <row r="189" spans="1:132" ht="18">
      <c r="A189" s="14" t="s">
        <v>166</v>
      </c>
      <c r="B189" s="14">
        <v>6</v>
      </c>
      <c r="C189" s="14" t="s">
        <v>147</v>
      </c>
      <c r="D189" s="14" t="s">
        <v>162</v>
      </c>
      <c r="E189" s="14" t="s">
        <v>145</v>
      </c>
      <c r="F189" s="15">
        <v>2074</v>
      </c>
      <c r="G189" s="15">
        <v>3.3168087520530221</v>
      </c>
      <c r="I189" s="15"/>
      <c r="J189" s="16"/>
      <c r="K189" s="16"/>
      <c r="L189" s="17">
        <v>4.6008119079837616E-2</v>
      </c>
      <c r="M189" s="18">
        <v>70</v>
      </c>
      <c r="N189" s="18">
        <v>70</v>
      </c>
      <c r="O189" s="18">
        <v>0.80824869190520165</v>
      </c>
      <c r="P189" s="18">
        <v>2</v>
      </c>
      <c r="Q189" s="18">
        <v>2</v>
      </c>
      <c r="R189" s="18">
        <v>70</v>
      </c>
      <c r="S189" s="18">
        <v>5</v>
      </c>
      <c r="T189" s="19">
        <v>5902</v>
      </c>
      <c r="U189" s="19">
        <v>3.7709992051639407</v>
      </c>
      <c r="V189" s="20">
        <v>21535</v>
      </c>
      <c r="W189" s="20">
        <v>4.3331448760986193</v>
      </c>
      <c r="X189" s="20">
        <v>0.53946742152859539</v>
      </c>
      <c r="Y189" s="20">
        <v>0.44167136099999998</v>
      </c>
      <c r="Z189" s="20">
        <f t="shared" si="60"/>
        <v>-0.35490076049462033</v>
      </c>
      <c r="AA189" s="20">
        <v>0.30306345730000001</v>
      </c>
      <c r="AB189" s="20"/>
      <c r="AC189" s="20">
        <v>18033</v>
      </c>
      <c r="AD189" s="21">
        <v>679</v>
      </c>
      <c r="AE189" s="21">
        <f t="shared" si="69"/>
        <v>1.5062445928259277E-2</v>
      </c>
      <c r="AF189" s="21">
        <f t="shared" si="70"/>
        <v>2.8318697742805017</v>
      </c>
      <c r="AG189" s="22">
        <v>7.1430155948446058E-3</v>
      </c>
      <c r="AH189" s="22">
        <v>322</v>
      </c>
      <c r="AI189" s="22">
        <v>1.052063663</v>
      </c>
      <c r="AJ189" s="22">
        <v>39919</v>
      </c>
      <c r="AK189" s="23">
        <f t="shared" si="68"/>
        <v>4.6011796533587814</v>
      </c>
      <c r="AL189" s="24">
        <v>0.27252158700000001</v>
      </c>
      <c r="AM189" s="22">
        <f>9378+13459</f>
        <v>22837</v>
      </c>
      <c r="AN189" s="22">
        <f t="shared" si="82"/>
        <v>0.50659952527784557</v>
      </c>
      <c r="AO189" s="23">
        <v>0.17403149097289561</v>
      </c>
      <c r="AP189" s="33">
        <v>2.5736539999999999E-2</v>
      </c>
      <c r="AQ189" s="23">
        <v>0.41055016028744346</v>
      </c>
      <c r="AR189" s="22">
        <v>45079</v>
      </c>
      <c r="AS189" s="23">
        <v>4.6539742734055931</v>
      </c>
      <c r="AT189" s="23">
        <v>4.6339529790384377</v>
      </c>
      <c r="AU189" s="22">
        <v>0.81599999999999995</v>
      </c>
      <c r="AV189" s="22">
        <v>0.33162485390000002</v>
      </c>
      <c r="AW189" s="22">
        <v>23.4</v>
      </c>
      <c r="AX189" s="22">
        <v>42</v>
      </c>
      <c r="AY189" s="22">
        <v>1</v>
      </c>
      <c r="AZ189" s="24">
        <v>21657</v>
      </c>
      <c r="BA189" s="24">
        <f t="shared" si="61"/>
        <v>4.3355982965330027</v>
      </c>
      <c r="BB189" s="24">
        <v>9876</v>
      </c>
      <c r="BC189" s="24">
        <f t="shared" si="62"/>
        <v>3.9945810812598945</v>
      </c>
      <c r="BD189" s="24">
        <v>11781</v>
      </c>
      <c r="BE189" s="22">
        <v>3769</v>
      </c>
      <c r="BF189" s="22">
        <f t="shared" si="83"/>
        <v>712</v>
      </c>
      <c r="BG189" s="23">
        <v>-0.27421528981321008</v>
      </c>
      <c r="BH189" s="23">
        <v>8.360877570487367E-2</v>
      </c>
      <c r="BI189" s="23">
        <v>0.12063278201077866</v>
      </c>
      <c r="BJ189" s="23">
        <v>0.11396119707670152</v>
      </c>
      <c r="BK189" s="23">
        <v>-0.30691496696641596</v>
      </c>
      <c r="BL189" s="22">
        <v>5193</v>
      </c>
      <c r="BM189" s="22">
        <v>5094</v>
      </c>
      <c r="BN189" s="22">
        <f t="shared" si="84"/>
        <v>334.5</v>
      </c>
      <c r="BO189" s="22">
        <v>3.7070589406275962</v>
      </c>
      <c r="BP189" s="22">
        <v>0.23521263332871589</v>
      </c>
      <c r="BQ189" s="22">
        <v>7.2241574147071802E-3</v>
      </c>
      <c r="BR189" s="22">
        <v>1.6202319381040622E-2</v>
      </c>
      <c r="BS189" s="22">
        <v>-1675</v>
      </c>
      <c r="BT189" s="22">
        <v>3.2240148113728639</v>
      </c>
      <c r="BU189" s="22">
        <v>3.7156991060138866E-2</v>
      </c>
      <c r="BV189" s="23">
        <v>5434</v>
      </c>
      <c r="BW189" s="22">
        <v>7376</v>
      </c>
      <c r="BX189" s="22">
        <v>17.32</v>
      </c>
      <c r="BY189" s="22">
        <v>1.2385478876813278</v>
      </c>
      <c r="BZ189" s="25">
        <v>0.10178117048346054</v>
      </c>
      <c r="CA189" s="23">
        <v>3.535605482629562E-2</v>
      </c>
      <c r="CB189" s="23">
        <v>3.535605482629562</v>
      </c>
      <c r="CC189" s="23">
        <v>0.5484637986838331</v>
      </c>
      <c r="CD189" s="23">
        <v>1.6391908430144698E-2</v>
      </c>
      <c r="CE189" s="23">
        <v>6.2626821819872752E-2</v>
      </c>
      <c r="CF189" s="23">
        <v>1.1835220616946505</v>
      </c>
      <c r="CG189" s="23">
        <f t="shared" si="63"/>
        <v>0.16849479085827784</v>
      </c>
      <c r="CH189" s="26">
        <v>22.5</v>
      </c>
      <c r="CI189" s="26">
        <v>11.56</v>
      </c>
      <c r="CJ189" s="26">
        <v>1.3521825181113625</v>
      </c>
      <c r="CK189" s="26">
        <v>1.0629578340845103</v>
      </c>
      <c r="CL189" s="26">
        <v>0.94636678200692037</v>
      </c>
      <c r="CM189" s="27">
        <v>18.34360153256705</v>
      </c>
      <c r="CN189" s="27">
        <v>0.37954130333231201</v>
      </c>
      <c r="CQ189" s="27">
        <v>77.833846153846167</v>
      </c>
      <c r="CR189" s="27">
        <v>0.14479088628430173</v>
      </c>
      <c r="CS189" s="27">
        <v>0.72605363984674265</v>
      </c>
      <c r="CT189" s="27">
        <v>0.84238461538461584</v>
      </c>
      <c r="CU189" s="27">
        <v>-0.13809722235342442</v>
      </c>
      <c r="CV189" s="27">
        <v>0.78180076628352502</v>
      </c>
      <c r="CW189" s="27">
        <v>1.8930960917710087</v>
      </c>
      <c r="CX189" s="36">
        <v>0.88</v>
      </c>
      <c r="CY189" s="28">
        <v>0.56000000000000005</v>
      </c>
      <c r="CZ189" s="29">
        <v>19.614636019999999</v>
      </c>
      <c r="DA189" s="27">
        <v>0.18685412683753744</v>
      </c>
      <c r="DB189" s="27">
        <v>2.3607257116750975</v>
      </c>
      <c r="DC189" s="27">
        <v>1.322681365714484</v>
      </c>
      <c r="DD189" s="27">
        <v>1</v>
      </c>
      <c r="DE189" s="27">
        <v>0</v>
      </c>
      <c r="DF189" s="27">
        <v>96.5</v>
      </c>
      <c r="DG189" s="28">
        <v>4.5695430083449402</v>
      </c>
      <c r="DH189" s="27">
        <v>0.95938999999999997</v>
      </c>
      <c r="DI189" s="27">
        <v>1.9</v>
      </c>
      <c r="DJ189" s="27">
        <v>1.7</v>
      </c>
      <c r="DK189" s="27">
        <v>1.8</v>
      </c>
      <c r="DL189" s="27">
        <v>1.679984422560547E-2</v>
      </c>
      <c r="DM189" s="27">
        <v>0.6855</v>
      </c>
      <c r="DN189" s="28">
        <v>0.84760000000000002</v>
      </c>
      <c r="DO189" s="28">
        <v>0.14154882154882151</v>
      </c>
      <c r="DP189" s="28">
        <f t="shared" si="85"/>
        <v>-9.5288372706876123E-2</v>
      </c>
      <c r="DQ189" s="27">
        <v>0.10279999999999989</v>
      </c>
      <c r="DR189" s="27">
        <v>2.77430650961079E-2</v>
      </c>
      <c r="DS189" s="27">
        <v>5.0662060808238797E-2</v>
      </c>
      <c r="DT189" s="27">
        <v>2.4490842135800685E-2</v>
      </c>
      <c r="DU189" s="30">
        <v>4.6191050000000002</v>
      </c>
      <c r="DV189">
        <v>-0.9</v>
      </c>
      <c r="DW189">
        <v>-0.7</v>
      </c>
      <c r="DX189">
        <v>96.2</v>
      </c>
      <c r="DY189">
        <v>92.4</v>
      </c>
      <c r="DZ189">
        <v>2.1</v>
      </c>
      <c r="EA189">
        <v>1.9</v>
      </c>
      <c r="EB189">
        <v>2.1588159999999998</v>
      </c>
    </row>
    <row r="190" spans="1:132" ht="18">
      <c r="A190" s="14" t="s">
        <v>166</v>
      </c>
      <c r="B190" s="14">
        <v>7</v>
      </c>
      <c r="C190" s="14" t="s">
        <v>147</v>
      </c>
      <c r="D190" s="14" t="s">
        <v>162</v>
      </c>
      <c r="E190" s="14" t="s">
        <v>145</v>
      </c>
      <c r="F190" s="15">
        <v>2622</v>
      </c>
      <c r="G190" s="15">
        <v>3.4186326873540653</v>
      </c>
      <c r="I190" s="15"/>
      <c r="J190" s="16"/>
      <c r="K190" s="16"/>
      <c r="L190" s="17">
        <v>4.6271132601560017E-2</v>
      </c>
      <c r="M190" s="18">
        <v>70</v>
      </c>
      <c r="N190" s="18">
        <v>70</v>
      </c>
      <c r="O190" s="18">
        <v>0.80824869190520165</v>
      </c>
      <c r="P190" s="18">
        <v>2</v>
      </c>
      <c r="Q190" s="18">
        <v>2</v>
      </c>
      <c r="R190" s="18">
        <v>70</v>
      </c>
      <c r="S190" s="18">
        <v>5</v>
      </c>
      <c r="T190" s="19">
        <v>6659</v>
      </c>
      <c r="U190" s="19">
        <v>3.8234090148925444</v>
      </c>
      <c r="V190" s="20">
        <v>22967</v>
      </c>
      <c r="W190" s="20">
        <v>4.3611042704003049</v>
      </c>
      <c r="X190" s="20">
        <v>0.51911036774178965</v>
      </c>
      <c r="Y190" s="20">
        <v>0.41784805879999998</v>
      </c>
      <c r="Z190" s="20">
        <f t="shared" si="60"/>
        <v>-0.37898161109739747</v>
      </c>
      <c r="AA190" s="20">
        <v>0.36965517240000001</v>
      </c>
      <c r="AB190" s="20"/>
      <c r="AC190" s="20">
        <v>21192</v>
      </c>
      <c r="AD190" s="21">
        <v>1462</v>
      </c>
      <c r="AE190" s="21">
        <f t="shared" si="69"/>
        <v>2.5800303532982741E-2</v>
      </c>
      <c r="AF190" s="21">
        <f t="shared" si="70"/>
        <v>3.1649473726218416</v>
      </c>
      <c r="AG190" s="22">
        <v>9.8824692055200641E-3</v>
      </c>
      <c r="AH190" s="22">
        <v>560</v>
      </c>
      <c r="AI190" s="22">
        <v>1.0516036959999999</v>
      </c>
      <c r="AJ190" s="22">
        <v>44243</v>
      </c>
      <c r="AK190" s="23">
        <f t="shared" si="68"/>
        <v>4.6458445676472788</v>
      </c>
      <c r="AL190" s="24">
        <v>0.26224795200000001</v>
      </c>
      <c r="AM190" s="22">
        <f>1435+15695</f>
        <v>17130</v>
      </c>
      <c r="AN190" s="22">
        <f t="shared" si="82"/>
        <v>0.30229767409028341</v>
      </c>
      <c r="AO190" s="23">
        <v>0.14567580340264649</v>
      </c>
      <c r="AP190" s="33">
        <v>4.0435066999999998E-2</v>
      </c>
      <c r="AQ190" s="23">
        <v>0.60675816706345653</v>
      </c>
      <c r="AR190" s="22">
        <v>56666</v>
      </c>
      <c r="AS190" s="23">
        <v>4.7533225572817104</v>
      </c>
      <c r="AT190" s="23">
        <v>4.6539742734055931</v>
      </c>
      <c r="AU190" s="22">
        <v>0.93300000000000005</v>
      </c>
      <c r="AV190" s="22">
        <v>0.43679110640000002</v>
      </c>
      <c r="AW190" s="22">
        <v>28</v>
      </c>
      <c r="AX190" s="22">
        <v>23.4</v>
      </c>
      <c r="AY190" s="22">
        <v>1</v>
      </c>
      <c r="AZ190" s="24">
        <v>25392</v>
      </c>
      <c r="BA190" s="24">
        <f t="shared" si="61"/>
        <v>4.4046969094107729</v>
      </c>
      <c r="BB190" s="24">
        <v>12492</v>
      </c>
      <c r="BC190" s="24">
        <f t="shared" si="62"/>
        <v>4.0966319755581608</v>
      </c>
      <c r="BD190" s="24">
        <v>12900</v>
      </c>
      <c r="BE190" s="22">
        <v>3699</v>
      </c>
      <c r="BF190" s="22">
        <f t="shared" si="83"/>
        <v>35</v>
      </c>
      <c r="BG190" s="23">
        <v>-1.8572565667285754E-2</v>
      </c>
      <c r="BH190" s="23">
        <v>6.5277238555747713E-2</v>
      </c>
      <c r="BI190" s="23">
        <v>8.360877570487367E-2</v>
      </c>
      <c r="BJ190" s="23">
        <v>0.11396119707670152</v>
      </c>
      <c r="BK190" s="23">
        <v>-0.21925374453315175</v>
      </c>
      <c r="BL190" s="22">
        <v>3769</v>
      </c>
      <c r="BM190" s="22">
        <v>5742</v>
      </c>
      <c r="BN190" s="22">
        <f t="shared" si="84"/>
        <v>324</v>
      </c>
      <c r="BO190" s="22">
        <v>3.759063188160487</v>
      </c>
      <c r="BP190" s="22">
        <v>0.22613421550094517</v>
      </c>
      <c r="BQ190" s="22">
        <v>4.5392089138853592E-3</v>
      </c>
      <c r="BR190" s="22">
        <v>7.2241574147071802E-3</v>
      </c>
      <c r="BS190" s="22">
        <v>-5297</v>
      </c>
      <c r="BT190" s="22">
        <v>3.7240299729355977</v>
      </c>
      <c r="BU190" s="22">
        <v>9.347757032435676E-2</v>
      </c>
      <c r="BV190" s="23">
        <v>4834</v>
      </c>
      <c r="BW190" s="22">
        <v>11630</v>
      </c>
      <c r="BX190" s="22">
        <v>14.24</v>
      </c>
      <c r="BY190" s="22">
        <v>1.1535099893008376</v>
      </c>
      <c r="BZ190" s="25">
        <v>-0.17782909930715934</v>
      </c>
      <c r="CA190" s="23">
        <v>6.2626821819872752E-2</v>
      </c>
      <c r="CB190" s="23">
        <v>6.2626821819872749</v>
      </c>
      <c r="CC190" s="23">
        <v>0.7967603727245558</v>
      </c>
      <c r="CD190" s="23">
        <v>3.535605482629562E-2</v>
      </c>
      <c r="CE190" s="23">
        <v>3.0612571544382627E-2</v>
      </c>
      <c r="CF190" s="23">
        <v>1.9365397461589844</v>
      </c>
      <c r="CG190" s="23">
        <f t="shared" si="63"/>
        <v>0.66090274450202702</v>
      </c>
      <c r="CH190" s="26">
        <v>40</v>
      </c>
      <c r="CI190" s="26">
        <v>22.5</v>
      </c>
      <c r="CJ190" s="26">
        <v>1.6020599913279623</v>
      </c>
      <c r="CK190" s="26">
        <v>1.3521825181113625</v>
      </c>
      <c r="CL190" s="26">
        <v>0.77777777777777779</v>
      </c>
      <c r="CM190" s="27">
        <v>34.430804597701169</v>
      </c>
      <c r="CN190" s="27">
        <v>0.87699261437690179</v>
      </c>
      <c r="CO190" s="27">
        <v>14.00272</v>
      </c>
      <c r="CQ190" s="27">
        <v>141.16230769230771</v>
      </c>
      <c r="CR190" s="27">
        <v>0.81363654332700808</v>
      </c>
      <c r="CS190" s="27">
        <v>1.4151340996168575</v>
      </c>
      <c r="CT190" s="27">
        <v>0.72605363984674265</v>
      </c>
      <c r="CU190" s="27">
        <v>0.94907651715039654</v>
      </c>
      <c r="CV190" s="27">
        <v>1.549389312977099</v>
      </c>
      <c r="CW190" s="27">
        <v>2.1901605560639821</v>
      </c>
      <c r="CX190" s="36">
        <v>2.34</v>
      </c>
      <c r="CY190" s="28">
        <v>0.88</v>
      </c>
      <c r="CZ190" s="29">
        <v>33.709007630000002</v>
      </c>
      <c r="DA190" s="27">
        <v>0.71856401493398725</v>
      </c>
      <c r="DB190" s="27">
        <v>3.1430399491928545</v>
      </c>
      <c r="DC190" s="27">
        <v>2.3607257116750975</v>
      </c>
      <c r="DD190" s="27">
        <v>1</v>
      </c>
      <c r="DE190" s="27">
        <v>-0.4</v>
      </c>
      <c r="DF190" s="27">
        <v>98.8</v>
      </c>
      <c r="DG190" s="28">
        <v>4.5930976047538223</v>
      </c>
      <c r="DH190" s="27">
        <v>0.97638000000000003</v>
      </c>
      <c r="DI190" s="27">
        <v>1.8</v>
      </c>
      <c r="DJ190" s="27">
        <v>1.8</v>
      </c>
      <c r="DK190" s="27">
        <v>2</v>
      </c>
      <c r="DL190" s="27">
        <v>4.1965997035105826E-2</v>
      </c>
      <c r="DM190" s="27">
        <v>0.71560000000000001</v>
      </c>
      <c r="DN190" s="28">
        <v>0.75849999999999995</v>
      </c>
      <c r="DO190" s="28">
        <v>-0.10512033978291654</v>
      </c>
      <c r="DP190" s="28">
        <f t="shared" si="85"/>
        <v>4.3909555069292512E-2</v>
      </c>
      <c r="DQ190" s="27">
        <v>0.17789999999999995</v>
      </c>
      <c r="DR190" s="27">
        <v>5.0662060808238797E-2</v>
      </c>
      <c r="DS190" s="27">
        <v>3.802148779895468E-2</v>
      </c>
      <c r="DT190" s="27">
        <v>2.77430650961079E-2</v>
      </c>
      <c r="DU190" s="30">
        <v>5.7984980000000004</v>
      </c>
      <c r="DV190">
        <v>-1</v>
      </c>
      <c r="DW190">
        <v>0.7</v>
      </c>
      <c r="DX190">
        <v>98</v>
      </c>
      <c r="DY190">
        <v>95</v>
      </c>
      <c r="DZ190">
        <v>1.6</v>
      </c>
      <c r="EA190">
        <v>1.7</v>
      </c>
      <c r="EB190">
        <v>2.0603549999999999</v>
      </c>
    </row>
    <row r="191" spans="1:132" ht="18">
      <c r="A191" s="14" t="s">
        <v>166</v>
      </c>
      <c r="B191" s="14">
        <v>8</v>
      </c>
      <c r="C191" s="14" t="s">
        <v>147</v>
      </c>
      <c r="D191" s="14" t="s">
        <v>162</v>
      </c>
      <c r="E191" s="14" t="s">
        <v>145</v>
      </c>
      <c r="F191" s="15">
        <v>2072</v>
      </c>
      <c r="G191" s="15">
        <v>3.3163897510731952</v>
      </c>
      <c r="I191" s="15"/>
      <c r="J191" s="16"/>
      <c r="K191" s="16"/>
      <c r="L191" s="17">
        <v>3.5647311827956989E-2</v>
      </c>
      <c r="M191" s="18">
        <v>70</v>
      </c>
      <c r="N191" s="18">
        <v>70</v>
      </c>
      <c r="O191" s="18">
        <v>0.80824869190520165</v>
      </c>
      <c r="P191" s="18">
        <v>2</v>
      </c>
      <c r="Q191" s="18">
        <v>2</v>
      </c>
      <c r="R191" s="18">
        <v>70</v>
      </c>
      <c r="S191" s="18">
        <v>5</v>
      </c>
      <c r="T191" s="19">
        <v>7188</v>
      </c>
      <c r="U191" s="19">
        <v>3.8566080684369362</v>
      </c>
      <c r="V191" s="20">
        <v>29086</v>
      </c>
      <c r="W191" s="20">
        <v>4.4636839997835569</v>
      </c>
      <c r="X191" s="20">
        <v>0.60239416784027833</v>
      </c>
      <c r="Y191" s="20">
        <v>0.45018232930000002</v>
      </c>
      <c r="Z191" s="20">
        <f t="shared" si="60"/>
        <v>-0.34661155606609895</v>
      </c>
      <c r="AA191" s="20"/>
      <c r="AB191" s="20"/>
      <c r="AC191" s="20">
        <v>23703</v>
      </c>
      <c r="AD191" s="21">
        <v>679</v>
      </c>
      <c r="AE191" s="21">
        <f t="shared" si="69"/>
        <v>1.1681720430107527E-2</v>
      </c>
      <c r="AF191" s="21">
        <f t="shared" si="70"/>
        <v>2.8318697742805017</v>
      </c>
      <c r="AG191" s="22">
        <v>1.352258064516129E-2</v>
      </c>
      <c r="AH191" s="22">
        <v>786</v>
      </c>
      <c r="AI191" s="22">
        <v>0.63106048950000004</v>
      </c>
      <c r="AJ191" s="22">
        <v>48284</v>
      </c>
      <c r="AK191" s="23">
        <f t="shared" si="68"/>
        <v>4.6838032412506836</v>
      </c>
      <c r="AL191" s="24">
        <v>0.26492702299999998</v>
      </c>
      <c r="AM191" s="22">
        <f>14345+15526</f>
        <v>29871</v>
      </c>
      <c r="AN191" s="22">
        <f t="shared" si="82"/>
        <v>0.51390967741935489</v>
      </c>
      <c r="AO191" s="23">
        <v>7.6883384932920532E-2</v>
      </c>
      <c r="AP191" s="33">
        <v>1.4762178000000001E-2</v>
      </c>
      <c r="AQ191" s="23">
        <v>0.169150437676723</v>
      </c>
      <c r="AR191" s="22">
        <v>58125</v>
      </c>
      <c r="AS191" s="23">
        <v>4.7643629658980107</v>
      </c>
      <c r="AT191" s="23">
        <v>4.7533225572817104</v>
      </c>
      <c r="AU191" s="22">
        <v>1.032</v>
      </c>
      <c r="AV191" s="22">
        <v>0.51031245189999996</v>
      </c>
      <c r="AW191" s="22">
        <v>16.399999999999999</v>
      </c>
      <c r="AX191" s="22">
        <v>28</v>
      </c>
      <c r="AY191" s="22">
        <v>1</v>
      </c>
      <c r="AZ191" s="24">
        <v>27132</v>
      </c>
      <c r="BA191" s="24">
        <f t="shared" si="61"/>
        <v>4.4334818083929841</v>
      </c>
      <c r="BB191" s="24">
        <v>13627</v>
      </c>
      <c r="BC191" s="24">
        <f t="shared" si="62"/>
        <v>4.1344002559189841</v>
      </c>
      <c r="BD191" s="24">
        <v>13505</v>
      </c>
      <c r="BE191" s="22">
        <v>2086</v>
      </c>
      <c r="BF191" s="22">
        <f t="shared" si="83"/>
        <v>806.5</v>
      </c>
      <c r="BG191" s="23">
        <v>-0.43606380102730469</v>
      </c>
      <c r="BH191" s="23">
        <v>3.5888172043010751E-2</v>
      </c>
      <c r="BI191" s="23">
        <v>6.5277238555747713E-2</v>
      </c>
      <c r="BJ191" s="23">
        <v>0.11396119707670152</v>
      </c>
      <c r="BK191" s="23">
        <v>-0.45021920600452897</v>
      </c>
      <c r="BL191" s="22">
        <v>3699</v>
      </c>
      <c r="BM191" s="22">
        <v>7352</v>
      </c>
      <c r="BN191" s="22">
        <f t="shared" si="84"/>
        <v>805</v>
      </c>
      <c r="BO191" s="22">
        <v>3.8664054983780547</v>
      </c>
      <c r="BP191" s="22">
        <v>0.27097154651334215</v>
      </c>
      <c r="BQ191" s="22">
        <v>2.241866550619849E-2</v>
      </c>
      <c r="BR191" s="22">
        <v>4.5392089138853592E-3</v>
      </c>
      <c r="BS191" s="22">
        <v>-5205</v>
      </c>
      <c r="BT191" s="22">
        <v>3.7164207338465549</v>
      </c>
      <c r="BU191" s="22">
        <v>8.9548387096774193E-2</v>
      </c>
      <c r="BV191" s="23">
        <v>7167</v>
      </c>
      <c r="BW191" s="22">
        <v>13262</v>
      </c>
      <c r="BX191" s="22">
        <v>13.64</v>
      </c>
      <c r="BY191" s="22">
        <v>1.1348143703204601</v>
      </c>
      <c r="BZ191" s="25">
        <v>-4.2134831460674128E-2</v>
      </c>
      <c r="CA191" s="23">
        <v>3.0612571544382627E-2</v>
      </c>
      <c r="CB191" s="23">
        <v>3.0612571544382625</v>
      </c>
      <c r="CC191" s="23">
        <v>0.48589981311992536</v>
      </c>
      <c r="CD191" s="23">
        <v>6.2626821819872752E-2</v>
      </c>
      <c r="CE191" s="23">
        <v>3.3457083478289622E-2</v>
      </c>
      <c r="CF191" s="23">
        <v>1.4729096989966555</v>
      </c>
      <c r="CG191" s="23">
        <f t="shared" si="63"/>
        <v>0.38723983145783841</v>
      </c>
      <c r="CH191" s="26">
        <v>21.68</v>
      </c>
      <c r="CI191" s="26">
        <v>40</v>
      </c>
      <c r="CJ191" s="26">
        <v>1.3360592778663494</v>
      </c>
      <c r="CK191" s="26">
        <v>1.6020599913279623</v>
      </c>
      <c r="CL191" s="26">
        <v>-0.45800000000000002</v>
      </c>
      <c r="CM191" s="27">
        <v>32.806781609195411</v>
      </c>
      <c r="CN191" s="27">
        <v>-4.7167732717294325E-2</v>
      </c>
      <c r="CO191" s="27">
        <v>14.6873913</v>
      </c>
      <c r="CP191" s="27">
        <v>4.8895593141903844E-2</v>
      </c>
      <c r="CQ191" s="27">
        <v>128.33115384615388</v>
      </c>
      <c r="CR191" s="27">
        <v>-9.0896458522922177E-2</v>
      </c>
      <c r="CS191" s="27">
        <v>1.3546743295019157</v>
      </c>
      <c r="CT191" s="27">
        <v>1.4151340996168575</v>
      </c>
      <c r="CU191" s="27">
        <v>-4.272370380397951E-2</v>
      </c>
      <c r="CV191" s="27">
        <v>1.5608045977011498</v>
      </c>
      <c r="CW191" s="27">
        <v>2.1933485357004661</v>
      </c>
      <c r="CX191" s="36">
        <v>1.03</v>
      </c>
      <c r="CY191" s="28">
        <v>2.34</v>
      </c>
      <c r="CZ191" s="29">
        <v>33.580881230000003</v>
      </c>
      <c r="DA191" s="27">
        <v>-3.8009543741646867E-3</v>
      </c>
      <c r="DB191" s="27">
        <v>1.4102002336892525</v>
      </c>
      <c r="DC191" s="27">
        <v>3.1430399491928545</v>
      </c>
      <c r="DD191" s="27">
        <v>1</v>
      </c>
      <c r="DE191" s="27">
        <v>2.4</v>
      </c>
      <c r="DF191" s="27">
        <v>98.9</v>
      </c>
      <c r="DG191" s="28">
        <v>4.5941092386286666</v>
      </c>
      <c r="DH191" s="27">
        <v>0.99031999999999998</v>
      </c>
      <c r="DI191" s="27">
        <v>2</v>
      </c>
      <c r="DJ191" s="27">
        <v>3.5</v>
      </c>
      <c r="DK191" s="27">
        <v>2.6</v>
      </c>
      <c r="DL191" s="27">
        <v>2.4369778879479467E-2</v>
      </c>
      <c r="DM191" s="27">
        <v>0.69779999999999998</v>
      </c>
      <c r="DN191" s="28">
        <v>0.68400000000000005</v>
      </c>
      <c r="DO191" s="28">
        <v>-9.8220171390902972E-2</v>
      </c>
      <c r="DP191" s="28">
        <f t="shared" si="85"/>
        <v>-2.487423141419793E-2</v>
      </c>
      <c r="DQ191" s="27">
        <v>0.13560000000000005</v>
      </c>
      <c r="DR191" s="27">
        <v>3.802148779895468E-2</v>
      </c>
      <c r="DS191" s="27">
        <v>3.4239891893164551E-2</v>
      </c>
      <c r="DT191" s="27">
        <v>5.0662060808238797E-2</v>
      </c>
      <c r="DU191" s="30">
        <v>9.2708490000000001</v>
      </c>
      <c r="DV191">
        <v>2.2000000000000002</v>
      </c>
      <c r="DW191">
        <v>2.6</v>
      </c>
      <c r="DX191">
        <v>98.8</v>
      </c>
      <c r="DY191">
        <v>96.9</v>
      </c>
      <c r="DZ191">
        <v>1.3</v>
      </c>
      <c r="EA191">
        <v>2.5</v>
      </c>
      <c r="EB191">
        <v>1.1868369999999999</v>
      </c>
    </row>
    <row r="192" spans="1:132" ht="18">
      <c r="A192" s="14" t="s">
        <v>166</v>
      </c>
      <c r="B192" s="14">
        <v>9</v>
      </c>
      <c r="C192" s="14" t="s">
        <v>147</v>
      </c>
      <c r="D192" s="14" t="s">
        <v>162</v>
      </c>
      <c r="E192" s="14" t="s">
        <v>145</v>
      </c>
      <c r="F192" s="15">
        <v>4073</v>
      </c>
      <c r="G192" s="15">
        <v>3.6099144100859979</v>
      </c>
      <c r="I192" s="15"/>
      <c r="J192" s="16"/>
      <c r="K192" s="16"/>
      <c r="L192" s="17">
        <v>6.9042089739460619E-2</v>
      </c>
      <c r="M192" s="18">
        <v>70</v>
      </c>
      <c r="N192" s="18">
        <v>70</v>
      </c>
      <c r="O192" s="18">
        <v>0.80824869190520165</v>
      </c>
      <c r="P192" s="18">
        <v>2</v>
      </c>
      <c r="Q192" s="18">
        <v>2</v>
      </c>
      <c r="R192" s="18">
        <v>70</v>
      </c>
      <c r="S192" s="18">
        <v>5</v>
      </c>
      <c r="T192" s="19">
        <v>8720</v>
      </c>
      <c r="U192" s="19">
        <v>3.9405164849325671</v>
      </c>
      <c r="V192" s="20">
        <v>31206</v>
      </c>
      <c r="W192" s="20">
        <v>4.4942381041584758</v>
      </c>
      <c r="X192" s="20">
        <v>0.60863629271337183</v>
      </c>
      <c r="Y192" s="20">
        <v>0.45016988610000003</v>
      </c>
      <c r="Z192" s="20">
        <f t="shared" si="60"/>
        <v>-0.34662356028623664</v>
      </c>
      <c r="AA192" s="20"/>
      <c r="AB192" s="20"/>
      <c r="AC192" s="20">
        <v>23981</v>
      </c>
      <c r="AD192" s="21">
        <v>1655</v>
      </c>
      <c r="AE192" s="21">
        <f t="shared" si="69"/>
        <v>2.805417591917685E-2</v>
      </c>
      <c r="AF192" s="21">
        <f t="shared" si="70"/>
        <v>3.2187979981117376</v>
      </c>
      <c r="AG192" s="22">
        <v>1.4154221687318834E-2</v>
      </c>
      <c r="AH192" s="22">
        <f>765+70</f>
        <v>835</v>
      </c>
      <c r="AI192" s="22">
        <v>0.66020658080000005</v>
      </c>
      <c r="AJ192" s="22">
        <v>51272</v>
      </c>
      <c r="AK192" s="23">
        <f t="shared" si="68"/>
        <v>4.7098802585760104</v>
      </c>
      <c r="AL192" s="24">
        <v>0.30195997000000002</v>
      </c>
      <c r="AM192" s="22">
        <f>12860+10277</f>
        <v>23137</v>
      </c>
      <c r="AN192" s="22">
        <f t="shared" si="82"/>
        <v>0.39219907446646213</v>
      </c>
      <c r="AO192" s="23">
        <v>0.12196135466445045</v>
      </c>
      <c r="AP192" s="33">
        <v>5.6655500000000005E-4</v>
      </c>
      <c r="AQ192" s="23">
        <v>-1.2467579233344663</v>
      </c>
      <c r="AR192" s="22">
        <v>58993</v>
      </c>
      <c r="AS192" s="23">
        <v>4.7708004821212935</v>
      </c>
      <c r="AT192" s="23">
        <v>4.7643629658980107</v>
      </c>
      <c r="AU192" s="22">
        <v>0.93899999999999995</v>
      </c>
      <c r="AV192" s="22">
        <v>0.42604621450000002</v>
      </c>
      <c r="AW192" s="22">
        <v>18.600000000000001</v>
      </c>
      <c r="AX192" s="22">
        <v>16.399999999999999</v>
      </c>
      <c r="AY192" s="22">
        <v>1</v>
      </c>
      <c r="AZ192" s="24">
        <v>28878</v>
      </c>
      <c r="BA192" s="24">
        <f t="shared" si="61"/>
        <v>4.4605671120610024</v>
      </c>
      <c r="BB192" s="24">
        <v>14561</v>
      </c>
      <c r="BC192" s="24">
        <f t="shared" si="62"/>
        <v>4.1631912018704682</v>
      </c>
      <c r="BD192" s="24">
        <v>14317</v>
      </c>
      <c r="BE192" s="22">
        <v>3522</v>
      </c>
      <c r="BF192" s="22">
        <f t="shared" si="83"/>
        <v>718</v>
      </c>
      <c r="BG192" s="23">
        <v>0.68839884947267493</v>
      </c>
      <c r="BH192" s="23">
        <v>5.9701998542199923E-2</v>
      </c>
      <c r="BI192" s="23">
        <v>3.5888172043010751E-2</v>
      </c>
      <c r="BJ192" s="23">
        <v>0.11396119707670152</v>
      </c>
      <c r="BK192" s="23">
        <v>0.6635564071262563</v>
      </c>
      <c r="BL192" s="22">
        <v>2086</v>
      </c>
      <c r="BM192" s="22">
        <v>6966</v>
      </c>
      <c r="BN192" s="22">
        <f t="shared" si="84"/>
        <v>193</v>
      </c>
      <c r="BO192" s="22">
        <v>3.8429834701222174</v>
      </c>
      <c r="BP192" s="22">
        <v>0.24122169125285683</v>
      </c>
      <c r="BQ192" s="22">
        <v>1.487492763024266E-2</v>
      </c>
      <c r="BR192" s="22">
        <v>2.241866550619849E-2</v>
      </c>
      <c r="BS192" s="22">
        <v>-2534</v>
      </c>
      <c r="BT192" s="22">
        <v>3.4038066105474227</v>
      </c>
      <c r="BU192" s="22">
        <v>4.2954248809180751E-2</v>
      </c>
      <c r="BV192" s="23">
        <v>7295</v>
      </c>
      <c r="BW192" s="22">
        <v>12003</v>
      </c>
      <c r="BX192" s="22">
        <v>14.28</v>
      </c>
      <c r="BY192" s="22">
        <v>1.1547282074401555</v>
      </c>
      <c r="BZ192" s="25">
        <v>4.6920821114369411E-2</v>
      </c>
      <c r="CA192" s="23">
        <v>3.3457083478289622E-2</v>
      </c>
      <c r="CB192" s="23">
        <v>3.3457083478289622</v>
      </c>
      <c r="CC192" s="23">
        <v>0.52448807994703073</v>
      </c>
      <c r="CD192" s="23">
        <v>3.0612571544382627E-2</v>
      </c>
      <c r="CE192" s="23">
        <v>2.2271907292323895E-2</v>
      </c>
      <c r="CF192" s="23">
        <v>1.3268194070080863</v>
      </c>
      <c r="CG192" s="23">
        <f t="shared" si="63"/>
        <v>0.28278465491179983</v>
      </c>
      <c r="CH192" s="26">
        <v>17.75</v>
      </c>
      <c r="CI192" s="26">
        <v>21.68</v>
      </c>
      <c r="CJ192" s="26">
        <v>1.249198357391113</v>
      </c>
      <c r="CK192" s="26">
        <v>1.3360592778663494</v>
      </c>
      <c r="CL192" s="26">
        <v>-0.18127306273062729</v>
      </c>
      <c r="CM192" s="27">
        <v>23.674061302682002</v>
      </c>
      <c r="CN192" s="27">
        <v>-0.27837903806917774</v>
      </c>
      <c r="CO192" s="27">
        <v>13.17284585</v>
      </c>
      <c r="CP192" s="27">
        <v>-0.10311875125162628</v>
      </c>
      <c r="CQ192" s="27">
        <v>93.814615384615436</v>
      </c>
      <c r="CR192" s="27">
        <v>-0.26896460779054171</v>
      </c>
      <c r="CS192" s="27">
        <v>1.0575095785440605</v>
      </c>
      <c r="CT192" s="27">
        <v>1.3546743295019157</v>
      </c>
      <c r="CU192" s="27">
        <v>-0.21936250247475808</v>
      </c>
      <c r="CV192" s="27">
        <v>1.2699233716475098</v>
      </c>
      <c r="CW192" s="27">
        <v>2.1037775160152683</v>
      </c>
      <c r="CX192" s="36">
        <v>0.92</v>
      </c>
      <c r="CY192" s="28">
        <v>1.03</v>
      </c>
      <c r="CZ192" s="29">
        <v>26.404674329999999</v>
      </c>
      <c r="DA192" s="27">
        <v>-0.21369918349816944</v>
      </c>
      <c r="DB192" s="27">
        <v>3.3676575479931978</v>
      </c>
      <c r="DC192" s="27">
        <v>1.4102002336892525</v>
      </c>
      <c r="DD192" s="27">
        <v>1</v>
      </c>
      <c r="DE192" s="27">
        <v>2.2999999999999998</v>
      </c>
      <c r="DF192" s="27">
        <v>100</v>
      </c>
      <c r="DG192" s="28">
        <v>4.6051701859880918</v>
      </c>
      <c r="DH192" s="27">
        <v>1</v>
      </c>
      <c r="DI192" s="27">
        <v>1.8</v>
      </c>
      <c r="DJ192" s="27">
        <v>2</v>
      </c>
      <c r="DK192" s="27">
        <v>2.5</v>
      </c>
      <c r="DL192" s="27">
        <v>2.4833477735949187E-2</v>
      </c>
      <c r="DM192" s="27">
        <v>0.74709999999999999</v>
      </c>
      <c r="DN192" s="28">
        <v>0.71719999999999995</v>
      </c>
      <c r="DO192" s="28">
        <v>4.8538011695906276E-2</v>
      </c>
      <c r="DP192" s="28">
        <f t="shared" si="85"/>
        <v>7.0650616222413323E-2</v>
      </c>
      <c r="DQ192" s="27">
        <v>0.14990000000000003</v>
      </c>
      <c r="DR192" s="27">
        <v>3.4239891893164551E-2</v>
      </c>
      <c r="DS192" s="27">
        <v>2.4180879115385762E-2</v>
      </c>
      <c r="DT192" s="27">
        <v>3.802148779895468E-2</v>
      </c>
      <c r="DU192" s="30">
        <v>9.6228090000000002</v>
      </c>
      <c r="DV192">
        <v>2.7</v>
      </c>
      <c r="DW192">
        <v>2.9</v>
      </c>
      <c r="DX192">
        <v>100</v>
      </c>
      <c r="DY192">
        <v>100</v>
      </c>
      <c r="DZ192">
        <v>0.2</v>
      </c>
      <c r="EA192">
        <v>2</v>
      </c>
      <c r="EB192">
        <v>1.2855829999999999</v>
      </c>
    </row>
    <row r="193" spans="1:132" ht="18">
      <c r="A193" s="14" t="s">
        <v>166</v>
      </c>
      <c r="B193" s="14">
        <v>10</v>
      </c>
      <c r="C193" s="14" t="s">
        <v>147</v>
      </c>
      <c r="D193" s="14" t="s">
        <v>162</v>
      </c>
      <c r="E193" s="14" t="s">
        <v>145</v>
      </c>
      <c r="F193" s="15">
        <v>1161</v>
      </c>
      <c r="G193" s="15">
        <v>3.064832219738574</v>
      </c>
      <c r="I193" s="15"/>
      <c r="J193" s="16"/>
      <c r="K193" s="16"/>
      <c r="L193" s="17">
        <v>2.0836698433209497E-2</v>
      </c>
      <c r="M193" s="18">
        <v>70</v>
      </c>
      <c r="N193" s="18">
        <v>70</v>
      </c>
      <c r="O193" s="18">
        <v>0.80824869190520165</v>
      </c>
      <c r="P193" s="18">
        <v>2</v>
      </c>
      <c r="Q193" s="18">
        <v>2</v>
      </c>
      <c r="R193" s="18">
        <v>70</v>
      </c>
      <c r="S193" s="18">
        <v>5</v>
      </c>
      <c r="T193" s="19">
        <v>8840</v>
      </c>
      <c r="U193" s="19">
        <v>3.9464522650130731</v>
      </c>
      <c r="V193" s="20">
        <v>37914</v>
      </c>
      <c r="W193" s="20">
        <v>4.5787996057476317</v>
      </c>
      <c r="X193" s="20">
        <v>0.65012517576048556</v>
      </c>
      <c r="Y193" s="20">
        <v>0.41930944260000003</v>
      </c>
      <c r="Z193" s="20">
        <f t="shared" si="60"/>
        <v>-0.37746535743211052</v>
      </c>
      <c r="AA193" s="20"/>
      <c r="AB193" s="20"/>
      <c r="AC193" s="20">
        <v>21155</v>
      </c>
      <c r="AD193" s="21">
        <v>3037</v>
      </c>
      <c r="AE193" s="21">
        <f t="shared" si="69"/>
        <v>5.4505644394192289E-2</v>
      </c>
      <c r="AF193" s="21">
        <f t="shared" si="70"/>
        <v>3.4824447919182653</v>
      </c>
      <c r="AG193" s="22">
        <v>1.2957877923150092E-2</v>
      </c>
      <c r="AH193" s="22">
        <v>722</v>
      </c>
      <c r="AI193" s="22">
        <v>1.603987313</v>
      </c>
      <c r="AJ193" s="22">
        <v>58318</v>
      </c>
      <c r="AK193" s="23">
        <f t="shared" si="68"/>
        <v>4.7658026215537861</v>
      </c>
      <c r="AL193" s="24">
        <v>0.30680595599999999</v>
      </c>
      <c r="AM193" s="22">
        <f>15570+18079</f>
        <v>33649</v>
      </c>
      <c r="AN193" s="22">
        <f t="shared" si="82"/>
        <v>0.6039053105762846</v>
      </c>
      <c r="AO193" s="23">
        <v>0.12935133446708083</v>
      </c>
      <c r="AP193" s="33">
        <v>2.2544279E-2</v>
      </c>
      <c r="AQ193" s="23">
        <v>0.35303635047299414</v>
      </c>
      <c r="AR193" s="22">
        <v>55719</v>
      </c>
      <c r="AS193" s="23">
        <v>4.7460033134522295</v>
      </c>
      <c r="AT193" s="23">
        <v>4.7708004821212935</v>
      </c>
      <c r="AU193" s="22">
        <v>1.3460000000000001</v>
      </c>
      <c r="AV193" s="22">
        <v>0.71182600819999997</v>
      </c>
      <c r="AW193" s="22">
        <v>35.4</v>
      </c>
      <c r="AX193" s="22">
        <v>18.600000000000001</v>
      </c>
      <c r="AY193" s="22">
        <v>1</v>
      </c>
      <c r="AZ193" s="24">
        <v>28813</v>
      </c>
      <c r="BA193" s="24">
        <f t="shared" si="61"/>
        <v>4.459588479232008</v>
      </c>
      <c r="BB193" s="24">
        <v>14391</v>
      </c>
      <c r="BC193" s="24">
        <f t="shared" si="62"/>
        <v>4.1580909731855593</v>
      </c>
      <c r="BD193" s="24">
        <v>14422</v>
      </c>
      <c r="BE193" s="22">
        <v>3727</v>
      </c>
      <c r="BF193" s="22">
        <f t="shared" si="83"/>
        <v>102.5</v>
      </c>
      <c r="BG193" s="23">
        <v>5.8205565019875068E-2</v>
      </c>
      <c r="BH193" s="23">
        <v>6.6889211938476995E-2</v>
      </c>
      <c r="BI193" s="23">
        <v>5.9701998542199923E-2</v>
      </c>
      <c r="BJ193" s="23">
        <v>0.11396119707670152</v>
      </c>
      <c r="BK193" s="23">
        <v>0.12038480405638083</v>
      </c>
      <c r="BL193" s="22">
        <v>3522</v>
      </c>
      <c r="BM193" s="22">
        <v>6862</v>
      </c>
      <c r="BN193" s="22">
        <f t="shared" si="84"/>
        <v>52</v>
      </c>
      <c r="BO193" s="22">
        <v>3.8364507137201547</v>
      </c>
      <c r="BP193" s="22">
        <v>0.23815638774164441</v>
      </c>
      <c r="BQ193" s="22">
        <v>1.5326517556062125E-3</v>
      </c>
      <c r="BR193" s="22">
        <v>1.487492763024266E-2</v>
      </c>
      <c r="BS193" s="22">
        <v>807</v>
      </c>
      <c r="BT193" s="22">
        <v>2.9068735347220702</v>
      </c>
      <c r="BU193" s="22">
        <v>1.4483389867011254E-2</v>
      </c>
      <c r="BV193" s="23">
        <v>6854</v>
      </c>
      <c r="BW193" s="22">
        <v>15710</v>
      </c>
      <c r="BX193" s="22">
        <v>12.83</v>
      </c>
      <c r="BY193" s="22">
        <v>1.1082266563749286</v>
      </c>
      <c r="BZ193" s="25">
        <v>-0.10154061624649856</v>
      </c>
      <c r="CA193" s="23">
        <v>2.2271907292323895E-2</v>
      </c>
      <c r="CB193" s="23">
        <v>2.2271907292323894</v>
      </c>
      <c r="CC193" s="23">
        <v>0.34775741016664086</v>
      </c>
      <c r="CD193" s="23">
        <v>3.3457083478289622E-2</v>
      </c>
      <c r="CE193" s="23">
        <v>2.5456269123226564E-2</v>
      </c>
      <c r="CF193" s="23">
        <v>1.5653518948182521</v>
      </c>
      <c r="CG193" s="23">
        <f t="shared" si="63"/>
        <v>0.44811065163549868</v>
      </c>
      <c r="CH193" s="26">
        <v>23.4</v>
      </c>
      <c r="CI193" s="26">
        <v>17.75</v>
      </c>
      <c r="CJ193" s="26">
        <v>1.3692158574101427</v>
      </c>
      <c r="CK193" s="26">
        <v>1.249198357391113</v>
      </c>
      <c r="CL193" s="26">
        <v>0.31830985915492949</v>
      </c>
      <c r="CM193" s="27">
        <v>25.275999999999993</v>
      </c>
      <c r="CN193" s="27">
        <v>6.7666408261623831E-2</v>
      </c>
      <c r="CO193" s="27">
        <v>14.39393443</v>
      </c>
      <c r="CP193" s="27">
        <v>9.2697401450272041E-2</v>
      </c>
      <c r="CQ193" s="27">
        <v>94.493822393822356</v>
      </c>
      <c r="CR193" s="27">
        <v>7.2398848134946573E-3</v>
      </c>
      <c r="CS193" s="27">
        <v>1.0720384615384604</v>
      </c>
      <c r="CT193" s="27">
        <v>1.0575095785440605</v>
      </c>
      <c r="CU193" s="27">
        <v>1.37387720065881E-2</v>
      </c>
      <c r="CV193" s="27">
        <v>1.268846153846154</v>
      </c>
      <c r="CW193" s="27">
        <v>2.1034089675745258</v>
      </c>
      <c r="CX193" s="36">
        <v>0.92</v>
      </c>
      <c r="CY193" s="28">
        <v>0.92</v>
      </c>
      <c r="CZ193" s="29">
        <v>29.99596154</v>
      </c>
      <c r="DA193" s="27">
        <v>0.13600952487112158</v>
      </c>
      <c r="DB193" s="27">
        <v>1.9709466682529033</v>
      </c>
      <c r="DC193" s="27">
        <v>3.3676575479931978</v>
      </c>
      <c r="DD193" s="27">
        <v>1</v>
      </c>
      <c r="DE193" s="27">
        <v>1.9</v>
      </c>
      <c r="DF193" s="27">
        <v>100.9</v>
      </c>
      <c r="DG193" s="28">
        <v>4.6141299273595635</v>
      </c>
      <c r="DH193" s="27">
        <v>1.01092</v>
      </c>
      <c r="DI193" s="27">
        <v>1.7</v>
      </c>
      <c r="DJ193" s="27">
        <v>2.4</v>
      </c>
      <c r="DK193" s="27">
        <v>2.7</v>
      </c>
      <c r="DL193" s="27">
        <v>1.6688062333233E-2</v>
      </c>
      <c r="DM193" s="27">
        <v>0.77139999999999997</v>
      </c>
      <c r="DN193" s="28">
        <v>0.69699999999999995</v>
      </c>
      <c r="DO193" s="28">
        <v>-2.8165086447295033E-2</v>
      </c>
      <c r="DP193" s="28">
        <f>(DM193-DM192)/DM192</f>
        <v>3.2525766296345855E-2</v>
      </c>
      <c r="DQ193" s="27">
        <v>0.10270000000000001</v>
      </c>
      <c r="DR193" s="27">
        <v>2.4180879115385762E-2</v>
      </c>
      <c r="DS193" s="27">
        <v>2.0079372103467861E-2</v>
      </c>
      <c r="DT193" s="27">
        <v>3.4239891893164551E-2</v>
      </c>
      <c r="DU193" s="30">
        <v>8.9420310000000001</v>
      </c>
      <c r="DV193">
        <v>2.2000000000000002</v>
      </c>
      <c r="DW193">
        <v>2.4</v>
      </c>
      <c r="DX193">
        <v>102.1</v>
      </c>
      <c r="DY193">
        <v>102.1</v>
      </c>
      <c r="DZ193">
        <v>0.9</v>
      </c>
      <c r="EA193">
        <v>0.7</v>
      </c>
      <c r="EB193">
        <v>1.494866</v>
      </c>
    </row>
    <row r="194" spans="1:132" ht="18">
      <c r="A194" s="14" t="s">
        <v>166</v>
      </c>
      <c r="B194" s="14">
        <v>11</v>
      </c>
      <c r="C194" s="14" t="s">
        <v>147</v>
      </c>
      <c r="D194" s="14" t="s">
        <v>162</v>
      </c>
      <c r="E194" s="14" t="s">
        <v>145</v>
      </c>
      <c r="F194" s="15">
        <v>2352</v>
      </c>
      <c r="G194" s="15">
        <v>3.371437317404101</v>
      </c>
      <c r="I194" s="15"/>
      <c r="J194" s="16"/>
      <c r="K194" s="16"/>
      <c r="L194" s="17">
        <v>3.952011291460833E-2</v>
      </c>
      <c r="M194" s="18">
        <v>70</v>
      </c>
      <c r="N194" s="18">
        <v>70</v>
      </c>
      <c r="O194" s="18">
        <v>0.80824869190520165</v>
      </c>
      <c r="P194" s="18">
        <v>2</v>
      </c>
      <c r="Q194" s="18">
        <v>2</v>
      </c>
      <c r="R194" s="18">
        <v>70</v>
      </c>
      <c r="S194" s="18">
        <v>5</v>
      </c>
      <c r="T194" s="19">
        <v>9646</v>
      </c>
      <c r="U194" s="19">
        <v>3.9843472575858638</v>
      </c>
      <c r="V194" s="20">
        <v>37717</v>
      </c>
      <c r="W194" s="20">
        <v>4.5765371417731426</v>
      </c>
      <c r="X194" s="20">
        <v>0.64973298880275621</v>
      </c>
      <c r="Y194" s="20">
        <v>0.42672659010000002</v>
      </c>
      <c r="Z194" s="20">
        <f t="shared" si="60"/>
        <v>-0.3698502946285962</v>
      </c>
      <c r="AA194" s="20"/>
      <c r="AB194" s="20"/>
      <c r="AC194" s="20">
        <v>22503</v>
      </c>
      <c r="AD194" s="21">
        <v>5338</v>
      </c>
      <c r="AE194" s="21">
        <f t="shared" si="69"/>
        <v>8.9693181436300701E-2</v>
      </c>
      <c r="AF194" s="21">
        <f t="shared" si="70"/>
        <v>3.7273785694514889</v>
      </c>
      <c r="AG194" s="22">
        <v>1.2064388211177201E-2</v>
      </c>
      <c r="AH194" s="22">
        <v>718</v>
      </c>
      <c r="AI194" s="22">
        <v>1.2735585</v>
      </c>
      <c r="AJ194" s="22">
        <v>58050</v>
      </c>
      <c r="AK194" s="23">
        <f t="shared" si="68"/>
        <v>4.7638022240745928</v>
      </c>
      <c r="AL194" s="24">
        <v>0.33268952200000002</v>
      </c>
      <c r="AM194" s="22">
        <f>17754+20324</f>
        <v>38078</v>
      </c>
      <c r="AN194" s="22">
        <f t="shared" si="82"/>
        <v>0.63981584165070404</v>
      </c>
      <c r="AO194" s="23">
        <v>3.2730909843415881E-2</v>
      </c>
      <c r="AP194" s="33">
        <v>1.6723691999999998E-2</v>
      </c>
      <c r="AQ194" s="23">
        <v>0.22333216055667346</v>
      </c>
      <c r="AR194" s="22">
        <v>59514</v>
      </c>
      <c r="AS194" s="23">
        <v>4.7746191406453606</v>
      </c>
      <c r="AT194" s="23">
        <v>4.7460033134522295</v>
      </c>
      <c r="AU194" s="22">
        <v>1.4910000000000001</v>
      </c>
      <c r="AV194" s="22">
        <v>0.82837283080000002</v>
      </c>
      <c r="AW194" s="22">
        <v>27.3</v>
      </c>
      <c r="AX194" s="22">
        <v>35.4</v>
      </c>
      <c r="AY194" s="22">
        <v>1</v>
      </c>
      <c r="AZ194" s="24">
        <v>28994</v>
      </c>
      <c r="BA194" s="24">
        <f t="shared" si="61"/>
        <v>4.4623081345716908</v>
      </c>
      <c r="BB194" s="24">
        <v>14364</v>
      </c>
      <c r="BC194" s="24">
        <f t="shared" si="62"/>
        <v>4.1572753964540352</v>
      </c>
      <c r="BD194" s="24">
        <v>14630</v>
      </c>
      <c r="BE194" s="22">
        <v>949</v>
      </c>
      <c r="BF194" s="22">
        <f t="shared" si="83"/>
        <v>1389</v>
      </c>
      <c r="BG194" s="23">
        <v>-0.74537161255701634</v>
      </c>
      <c r="BH194" s="23">
        <v>1.5945827872433378E-2</v>
      </c>
      <c r="BI194" s="23">
        <v>6.6889211938476995E-2</v>
      </c>
      <c r="BJ194" s="23">
        <v>0.11396119707670152</v>
      </c>
      <c r="BK194" s="23">
        <v>-0.76160837584542107</v>
      </c>
      <c r="BL194" s="22">
        <v>3727</v>
      </c>
      <c r="BM194" s="22">
        <v>7106</v>
      </c>
      <c r="BN194" s="22">
        <f t="shared" si="84"/>
        <v>122</v>
      </c>
      <c r="BO194" s="22">
        <v>3.8516252031533091</v>
      </c>
      <c r="BP194" s="22">
        <v>0.24508519003931847</v>
      </c>
      <c r="BQ194" s="22">
        <v>3.4644011488370319E-3</v>
      </c>
      <c r="BR194" s="22">
        <v>1.5326517556062125E-3</v>
      </c>
      <c r="BS194" s="22">
        <v>-6042</v>
      </c>
      <c r="BT194" s="22">
        <v>3.7811807209372614</v>
      </c>
      <c r="BU194" s="22">
        <v>0.10152233088012905</v>
      </c>
      <c r="BV194" s="23">
        <v>6469</v>
      </c>
      <c r="BW194" s="22">
        <v>17757</v>
      </c>
      <c r="BX194" s="22">
        <v>13.86</v>
      </c>
      <c r="BY194" s="22">
        <v>1.1417632302757879</v>
      </c>
      <c r="BZ194" s="25">
        <v>8.0280592361652331E-2</v>
      </c>
      <c r="CA194" s="23">
        <v>2.5456269123226564E-2</v>
      </c>
      <c r="CB194" s="23">
        <v>2.5456269123226565</v>
      </c>
      <c r="CC194" s="23">
        <v>0.40579475368035151</v>
      </c>
      <c r="CD194" s="23">
        <v>2.2271907292323895E-2</v>
      </c>
      <c r="CE194" s="23">
        <v>1.6811412049824882E-2</v>
      </c>
      <c r="CF194" s="23">
        <v>1.4512730465320456</v>
      </c>
      <c r="CG194" s="23">
        <f t="shared" si="63"/>
        <v>0.37244113437384196</v>
      </c>
      <c r="CH194" s="26">
        <v>18.02</v>
      </c>
      <c r="CI194" s="26">
        <v>23.4</v>
      </c>
      <c r="CJ194" s="26">
        <v>1.2557547866430441</v>
      </c>
      <c r="CK194" s="26">
        <v>1.3692158574101427</v>
      </c>
      <c r="CL194" s="26">
        <v>-0.22991452991452987</v>
      </c>
      <c r="CM194" s="27">
        <v>18.608429118773955</v>
      </c>
      <c r="CN194" s="27">
        <v>-0.26379058716672099</v>
      </c>
      <c r="CO194" s="27">
        <v>10.24478261</v>
      </c>
      <c r="CP194" s="27">
        <v>-0.288256962693417</v>
      </c>
      <c r="CQ194" s="27">
        <v>71.254230769230816</v>
      </c>
      <c r="CR194" s="27">
        <v>-0.24593768180670883</v>
      </c>
      <c r="CS194" s="27">
        <v>0.83494252873563157</v>
      </c>
      <c r="CT194" s="27">
        <v>1.0720384615384604</v>
      </c>
      <c r="CU194" s="27">
        <v>-0.22116364413136569</v>
      </c>
      <c r="CV194" s="27">
        <v>0.95088122605364045</v>
      </c>
      <c r="CW194" s="27">
        <v>1.9781262728880398</v>
      </c>
      <c r="CX194" s="36">
        <v>0.54</v>
      </c>
      <c r="CY194" s="28">
        <v>0.92</v>
      </c>
      <c r="CZ194" s="29">
        <v>24.56237548</v>
      </c>
      <c r="DA194" s="27">
        <v>-0.18114392008251654</v>
      </c>
      <c r="DB194" s="27">
        <v>1.7682050254071211</v>
      </c>
      <c r="DC194" s="27">
        <v>1.9709466682529033</v>
      </c>
      <c r="DD194" s="27">
        <v>1</v>
      </c>
      <c r="DE194" s="27">
        <v>2</v>
      </c>
      <c r="DF194" s="27">
        <v>102.2</v>
      </c>
      <c r="DG194" s="28">
        <v>4.6269316777696039</v>
      </c>
      <c r="DH194" s="27">
        <v>1.0259199999999999</v>
      </c>
      <c r="DI194" s="27">
        <v>1.6</v>
      </c>
      <c r="DJ194" s="27">
        <v>1.3</v>
      </c>
      <c r="DK194" s="27">
        <v>1.9</v>
      </c>
      <c r="DL194" s="27">
        <v>1.6829215601661535E-2</v>
      </c>
      <c r="DM194" s="27">
        <v>0.75800000000000001</v>
      </c>
      <c r="DN194" s="28">
        <v>0.74839999999999995</v>
      </c>
      <c r="DO194" s="28">
        <v>7.3744619799139169E-2</v>
      </c>
      <c r="DP194" s="28">
        <f t="shared" si="85"/>
        <v>-1.7371013741249636E-2</v>
      </c>
      <c r="DQ194" s="27">
        <v>8.4699999999999998E-2</v>
      </c>
      <c r="DR194" s="27">
        <v>2.0079372103467861E-2</v>
      </c>
      <c r="DS194" s="27">
        <v>1.50675227484701E-2</v>
      </c>
      <c r="DT194" s="27">
        <v>2.4180879115385762E-2</v>
      </c>
      <c r="DU194" s="30">
        <v>8.0652849999999994</v>
      </c>
      <c r="DV194">
        <v>0.9</v>
      </c>
      <c r="DW194">
        <v>1.4</v>
      </c>
      <c r="DX194">
        <v>103.9</v>
      </c>
      <c r="DY194">
        <v>103.8</v>
      </c>
      <c r="DZ194">
        <v>0.1</v>
      </c>
      <c r="EA194">
        <v>0</v>
      </c>
      <c r="EB194">
        <v>1.826854</v>
      </c>
    </row>
    <row r="195" spans="1:132" ht="18">
      <c r="A195" s="14" t="s">
        <v>166</v>
      </c>
      <c r="B195" s="14">
        <v>12</v>
      </c>
      <c r="C195" s="14" t="s">
        <v>147</v>
      </c>
      <c r="D195" s="14" t="s">
        <v>162</v>
      </c>
      <c r="E195" s="14" t="s">
        <v>145</v>
      </c>
      <c r="F195" s="15">
        <v>3389</v>
      </c>
      <c r="G195" s="15">
        <v>3.530071568837378</v>
      </c>
      <c r="I195" s="15"/>
      <c r="J195" s="16"/>
      <c r="K195" s="16"/>
      <c r="L195" s="17">
        <v>6.8910126067507113E-2</v>
      </c>
      <c r="M195" s="18">
        <v>70</v>
      </c>
      <c r="N195" s="18">
        <v>70</v>
      </c>
      <c r="O195" s="18">
        <v>0.80824869190520165</v>
      </c>
      <c r="P195" s="18">
        <v>2</v>
      </c>
      <c r="Q195" s="18">
        <v>2</v>
      </c>
      <c r="R195" s="18">
        <v>70</v>
      </c>
      <c r="S195" s="18">
        <v>5</v>
      </c>
      <c r="T195" s="19">
        <v>3299</v>
      </c>
      <c r="U195" s="19">
        <v>3.518382315545344</v>
      </c>
      <c r="V195" s="20">
        <v>22488</v>
      </c>
      <c r="W195" s="20">
        <v>4.3519508325993845</v>
      </c>
      <c r="X195" s="20">
        <v>0.70259630705783105</v>
      </c>
      <c r="Y195" s="20">
        <v>0.2990878663</v>
      </c>
      <c r="Z195" s="20">
        <f t="shared" ref="Z195:Z248" si="86">LOG(Y195)</f>
        <v>-0.52420120551045668</v>
      </c>
      <c r="AA195" s="20"/>
      <c r="AB195" s="20"/>
      <c r="AC195" s="20">
        <v>11706</v>
      </c>
      <c r="AD195" s="21">
        <v>1247</v>
      </c>
      <c r="AE195" s="21">
        <f t="shared" si="69"/>
        <v>2.5355835705571369E-2</v>
      </c>
      <c r="AF195" s="21">
        <f t="shared" si="70"/>
        <v>3.0958664534785427</v>
      </c>
      <c r="AG195" s="22">
        <v>0</v>
      </c>
      <c r="AH195" s="22">
        <v>0</v>
      </c>
      <c r="AI195" s="22">
        <v>0.76195480820000006</v>
      </c>
      <c r="AJ195" s="22">
        <v>32007</v>
      </c>
      <c r="AK195" s="23">
        <f t="shared" si="68"/>
        <v>4.5052449698485022</v>
      </c>
      <c r="AL195" s="24">
        <v>0.32179087000000001</v>
      </c>
      <c r="AM195" s="22">
        <f>13078+17072</f>
        <v>30150</v>
      </c>
      <c r="AN195" s="22">
        <f t="shared" si="82"/>
        <v>0.61305408702724684</v>
      </c>
      <c r="AO195" s="23">
        <v>0.27106905969566913</v>
      </c>
      <c r="AP195" s="33">
        <v>7.2558978999999996E-2</v>
      </c>
      <c r="AQ195" s="23">
        <v>0.86069116300207027</v>
      </c>
      <c r="AR195" s="22">
        <v>49180</v>
      </c>
      <c r="AS195" s="23">
        <v>4.691788524402698</v>
      </c>
      <c r="AT195" s="23">
        <v>4.7746191406453606</v>
      </c>
      <c r="AU195" s="22">
        <v>1.1919999999999999</v>
      </c>
      <c r="AV195" s="22">
        <v>0.64456121909999997</v>
      </c>
      <c r="AW195" s="22">
        <v>14.5</v>
      </c>
      <c r="AX195" s="22">
        <v>27.3</v>
      </c>
      <c r="AY195" s="22">
        <v>1</v>
      </c>
      <c r="AZ195" s="24">
        <v>10252</v>
      </c>
      <c r="BA195" s="24">
        <f t="shared" ref="BA195:BA248" si="87">LOG(AZ195)</f>
        <v>4.0108085975122068</v>
      </c>
      <c r="BB195" s="24">
        <v>6097</v>
      </c>
      <c r="BC195" s="24">
        <f t="shared" ref="BC195:BC248" si="88">LOG(BB195)</f>
        <v>3.7851161950219199</v>
      </c>
      <c r="BD195" s="24">
        <v>4155</v>
      </c>
      <c r="BE195" s="22">
        <v>2779</v>
      </c>
      <c r="BF195" s="22">
        <f t="shared" si="83"/>
        <v>915</v>
      </c>
      <c r="BG195" s="23">
        <v>1.9283456269757639</v>
      </c>
      <c r="BH195" s="23">
        <v>5.6506710044733628E-2</v>
      </c>
      <c r="BI195" s="23">
        <v>1.5945827872433378E-2</v>
      </c>
      <c r="BJ195" s="23">
        <v>0.11396119707670152</v>
      </c>
      <c r="BK195" s="23">
        <v>2.543667377873843</v>
      </c>
      <c r="BL195" s="22">
        <v>949</v>
      </c>
      <c r="BM195" s="22">
        <v>5240</v>
      </c>
      <c r="BN195" s="22">
        <f t="shared" si="84"/>
        <v>933</v>
      </c>
      <c r="BO195" s="22">
        <v>3.7193312869837265</v>
      </c>
      <c r="BP195" s="22">
        <v>0.51111978150604764</v>
      </c>
      <c r="BQ195" s="22">
        <v>0.13301729573336449</v>
      </c>
      <c r="BR195" s="22">
        <v>3.4644011488370319E-3</v>
      </c>
      <c r="BS195" s="22">
        <v>-1187</v>
      </c>
      <c r="BT195" s="22">
        <v>3.0744507189545911</v>
      </c>
      <c r="BU195" s="22">
        <v>2.4135827572183816E-2</v>
      </c>
      <c r="BV195" s="23">
        <v>7605</v>
      </c>
      <c r="BW195" s="22">
        <v>12266</v>
      </c>
      <c r="BX195" s="22">
        <v>16.66</v>
      </c>
      <c r="BY195" s="22">
        <v>1.2216749970707688</v>
      </c>
      <c r="BZ195" s="25">
        <v>0.20202020202020207</v>
      </c>
      <c r="CA195" s="23">
        <v>1.6811412049824882E-2</v>
      </c>
      <c r="CB195" s="23">
        <v>1.6811412049824881</v>
      </c>
      <c r="CC195" s="23">
        <v>0.22560419289765496</v>
      </c>
      <c r="CD195" s="23">
        <v>2.5456269123226564E-2</v>
      </c>
      <c r="CE195" s="23">
        <v>2.6125542330590914E-2</v>
      </c>
      <c r="CF195" s="23">
        <v>1.3820648078372268</v>
      </c>
      <c r="CG195" s="23">
        <f t="shared" ref="CG195:CG248" si="89">LN(CF195)</f>
        <v>0.32357861848420266</v>
      </c>
      <c r="CH195" s="26">
        <v>13.72</v>
      </c>
      <c r="CI195" s="26">
        <v>18.02</v>
      </c>
      <c r="CJ195" s="26">
        <v>1.1373541113707328</v>
      </c>
      <c r="CK195" s="26">
        <v>1.2557547866430441</v>
      </c>
      <c r="CL195" s="26">
        <v>-0.23862375138734734</v>
      </c>
      <c r="CM195" s="27">
        <v>14.834099616858232</v>
      </c>
      <c r="CN195" s="27">
        <v>-0.20282902322516949</v>
      </c>
      <c r="CO195" s="27">
        <v>8.3248809519999991</v>
      </c>
      <c r="CP195" s="27">
        <v>-0.18740286944946707</v>
      </c>
      <c r="CQ195" s="27">
        <v>73.031538461538446</v>
      </c>
      <c r="CR195" s="27">
        <v>2.494318825872599E-2</v>
      </c>
      <c r="CS195" s="27">
        <v>0.8023754789272034</v>
      </c>
      <c r="CT195" s="27">
        <v>0.83494252873563157</v>
      </c>
      <c r="CU195" s="27">
        <v>-3.9005139500733109E-2</v>
      </c>
      <c r="CV195" s="27">
        <v>0.96896551724137914</v>
      </c>
      <c r="CW195" s="27">
        <v>1.9863083220061237</v>
      </c>
      <c r="CX195" s="36">
        <v>0.62</v>
      </c>
      <c r="CY195" s="28">
        <v>0.54</v>
      </c>
      <c r="CZ195" s="29">
        <v>18.565019159999999</v>
      </c>
      <c r="DA195" s="27">
        <v>-0.24416841623821645</v>
      </c>
      <c r="DB195" s="27">
        <v>1.1698744465812936</v>
      </c>
      <c r="DC195" s="27">
        <v>1.7682050254071211</v>
      </c>
      <c r="DD195" s="27">
        <v>1</v>
      </c>
      <c r="DE195" s="27">
        <v>2</v>
      </c>
      <c r="DF195" s="27">
        <v>103</v>
      </c>
      <c r="DG195" s="28">
        <v>4.6347289882296359</v>
      </c>
      <c r="DH195" s="27">
        <v>1.0334399999999999</v>
      </c>
      <c r="DI195" s="27">
        <v>1.6</v>
      </c>
      <c r="DJ195" s="27">
        <v>1.4</v>
      </c>
      <c r="DK195" s="27">
        <v>1.3</v>
      </c>
      <c r="DL195" s="27">
        <v>1.2152522197973097E-2</v>
      </c>
      <c r="DM195" s="27">
        <v>0.72770000000000001</v>
      </c>
      <c r="DN195" s="28">
        <v>0.77380000000000004</v>
      </c>
      <c r="DO195" s="28">
        <v>3.3939070016034328E-2</v>
      </c>
      <c r="DP195" s="28">
        <f>(DM195-DM194)/DM194</f>
        <v>-3.9973614775725586E-2</v>
      </c>
      <c r="DQ195" s="27">
        <v>5.8499999999999996E-2</v>
      </c>
      <c r="DR195" s="27">
        <v>1.50675227484701E-2</v>
      </c>
      <c r="DS195" s="27">
        <v>3.1335239457349999E-2</v>
      </c>
      <c r="DT195" s="27">
        <v>2.0079372103467861E-2</v>
      </c>
      <c r="DU195" s="30">
        <v>7.3719619999999999</v>
      </c>
      <c r="DV195">
        <v>1.5</v>
      </c>
      <c r="DW195">
        <v>2.1</v>
      </c>
      <c r="DX195">
        <v>105.4</v>
      </c>
      <c r="DY195">
        <v>105.7</v>
      </c>
      <c r="DZ195">
        <v>0.2</v>
      </c>
      <c r="EA195">
        <v>0.8</v>
      </c>
      <c r="EB195">
        <v>1.343728</v>
      </c>
    </row>
    <row r="196" spans="1:132" ht="18">
      <c r="A196" s="14" t="s">
        <v>166</v>
      </c>
      <c r="B196" s="14">
        <v>13</v>
      </c>
      <c r="C196" s="14" t="s">
        <v>147</v>
      </c>
      <c r="D196" s="14" t="s">
        <v>162</v>
      </c>
      <c r="E196" s="14" t="s">
        <v>145</v>
      </c>
      <c r="F196" s="15">
        <v>3141</v>
      </c>
      <c r="G196" s="15">
        <v>3.4970679363985049</v>
      </c>
      <c r="I196" s="15"/>
      <c r="J196" s="16"/>
      <c r="K196" s="16"/>
      <c r="L196" s="17">
        <v>8.788964127819128E-2</v>
      </c>
      <c r="M196" s="18">
        <v>70</v>
      </c>
      <c r="N196" s="18">
        <v>70</v>
      </c>
      <c r="O196" s="18">
        <v>0.80824869190520165</v>
      </c>
      <c r="P196" s="18">
        <v>2</v>
      </c>
      <c r="Q196" s="18">
        <v>2</v>
      </c>
      <c r="R196" s="18">
        <v>70</v>
      </c>
      <c r="S196" s="18">
        <v>5</v>
      </c>
      <c r="T196" s="19">
        <v>3102</v>
      </c>
      <c r="U196" s="19">
        <v>3.4916417934775863</v>
      </c>
      <c r="V196" s="20">
        <v>23396</v>
      </c>
      <c r="W196" s="20">
        <v>4.3691416126912843</v>
      </c>
      <c r="X196" s="20">
        <v>0.69718100005959827</v>
      </c>
      <c r="Y196" s="20">
        <v>0.3663326831</v>
      </c>
      <c r="Z196" s="20">
        <f t="shared" si="86"/>
        <v>-0.43612433315968208</v>
      </c>
      <c r="AA196" s="20"/>
      <c r="AB196" s="20"/>
      <c r="AC196" s="20">
        <v>8263</v>
      </c>
      <c r="AD196" s="21">
        <v>37</v>
      </c>
      <c r="AE196" s="21">
        <f t="shared" si="69"/>
        <v>1.0353125524651631E-3</v>
      </c>
      <c r="AF196" s="21">
        <f t="shared" si="70"/>
        <v>1.568201724066995</v>
      </c>
      <c r="AG196" s="22">
        <v>0</v>
      </c>
      <c r="AH196" s="22">
        <v>0</v>
      </c>
      <c r="AI196" s="22">
        <v>0.73951626940000004</v>
      </c>
      <c r="AJ196" s="22">
        <v>33558</v>
      </c>
      <c r="AK196" s="23">
        <f t="shared" si="68"/>
        <v>4.525796069711892</v>
      </c>
      <c r="AL196" s="24">
        <v>0.30746357400000002</v>
      </c>
      <c r="AM196" s="22">
        <f>5740+7010</f>
        <v>12750</v>
      </c>
      <c r="AN196" s="22">
        <f t="shared" si="82"/>
        <v>0.35676310929542782</v>
      </c>
      <c r="AO196" s="23">
        <v>0.49806720190306275</v>
      </c>
      <c r="AP196" s="33">
        <v>7.1126720000000004E-2</v>
      </c>
      <c r="AQ196" s="23">
        <v>0.8520327817226625</v>
      </c>
      <c r="AR196" s="22">
        <v>35738</v>
      </c>
      <c r="AS196" s="23">
        <v>4.5531302444967743</v>
      </c>
      <c r="AT196" s="23">
        <v>4.691788524402698</v>
      </c>
      <c r="AU196" s="22">
        <v>0.33300000000000002</v>
      </c>
      <c r="AV196" s="22">
        <v>0.1020967461</v>
      </c>
      <c r="AW196" s="22">
        <v>17</v>
      </c>
      <c r="AX196" s="22">
        <v>14.5</v>
      </c>
      <c r="AY196" s="22">
        <v>1</v>
      </c>
      <c r="AZ196" s="24">
        <v>10089</v>
      </c>
      <c r="BA196" s="24">
        <f t="shared" si="87"/>
        <v>4.0038481220342979</v>
      </c>
      <c r="BB196" s="24">
        <v>6121</v>
      </c>
      <c r="BC196" s="24">
        <f t="shared" si="88"/>
        <v>3.7868223794991875</v>
      </c>
      <c r="BD196" s="24">
        <v>3968</v>
      </c>
      <c r="BE196" s="22">
        <v>5025</v>
      </c>
      <c r="BF196" s="22">
        <f t="shared" si="83"/>
        <v>1123</v>
      </c>
      <c r="BG196" s="23">
        <v>0.80820439006836997</v>
      </c>
      <c r="BH196" s="23">
        <v>0.14060663719290392</v>
      </c>
      <c r="BI196" s="23">
        <v>5.6506710044733628E-2</v>
      </c>
      <c r="BJ196" s="23">
        <v>0.11396119707670152</v>
      </c>
      <c r="BK196" s="23">
        <v>1.4883175304595235</v>
      </c>
      <c r="BL196" s="22">
        <v>2779</v>
      </c>
      <c r="BM196" s="22">
        <v>3593</v>
      </c>
      <c r="BN196" s="22">
        <f>STDEVP(BM195:BM196)</f>
        <v>823.5</v>
      </c>
      <c r="BO196" s="22">
        <v>3.5554572172046495</v>
      </c>
      <c r="BP196" s="22">
        <v>0.35613043909208048</v>
      </c>
      <c r="BQ196" s="22">
        <v>7.7494671206983778E-2</v>
      </c>
      <c r="BR196" s="22">
        <v>0.13301729573336449</v>
      </c>
      <c r="BS196" s="22">
        <v>14292</v>
      </c>
      <c r="BT196" s="22">
        <v>4.155093007530402</v>
      </c>
      <c r="BU196" s="22">
        <v>0.39991045945492193</v>
      </c>
      <c r="BV196" s="23">
        <v>2408</v>
      </c>
      <c r="BW196" s="22">
        <v>2347</v>
      </c>
      <c r="BX196" s="22">
        <v>18.98</v>
      </c>
      <c r="BY196" s="22">
        <v>1.2782962080912739</v>
      </c>
      <c r="BZ196" s="25">
        <v>0.13925570228091239</v>
      </c>
      <c r="CA196" s="23">
        <v>2.6125542330590914E-2</v>
      </c>
      <c r="CB196" s="23">
        <v>2.6125542330590914</v>
      </c>
      <c r="CC196" s="23">
        <v>0.41706531457320922</v>
      </c>
      <c r="CD196" s="23">
        <v>1.6811412049824882E-2</v>
      </c>
      <c r="CE196" s="23">
        <v>1.9419039999999999E-2</v>
      </c>
      <c r="CF196" s="23">
        <v>1.2085747392815758</v>
      </c>
      <c r="CG196" s="23">
        <f t="shared" si="89"/>
        <v>0.18944176391734441</v>
      </c>
      <c r="CH196" s="26">
        <v>19.2</v>
      </c>
      <c r="CI196" s="26">
        <v>13.72</v>
      </c>
      <c r="CJ196" s="26">
        <v>1.2833012287035497</v>
      </c>
      <c r="CK196" s="26">
        <v>1.1373541113707328</v>
      </c>
      <c r="CL196" s="26">
        <v>0.39941690962099113</v>
      </c>
      <c r="CM196" s="27">
        <v>14.883180076628348</v>
      </c>
      <c r="CN196" s="27">
        <v>3.3086241186042575E-3</v>
      </c>
      <c r="CO196" s="27">
        <v>6.9159523810000003</v>
      </c>
      <c r="CP196" s="27">
        <v>-0.1692430893755319</v>
      </c>
      <c r="CQ196" s="27">
        <v>64.583076923076902</v>
      </c>
      <c r="CR196" s="27">
        <v>-0.11568237115682381</v>
      </c>
      <c r="CS196" s="27">
        <v>0.66574712643678124</v>
      </c>
      <c r="CT196" s="27">
        <v>0.8023754789272034</v>
      </c>
      <c r="CU196" s="27">
        <v>-0.1702798204564997</v>
      </c>
      <c r="CV196" s="27">
        <v>0.67685823754789287</v>
      </c>
      <c r="CW196" s="27">
        <v>1.8304977187626064</v>
      </c>
      <c r="CX196" s="36">
        <v>1.33</v>
      </c>
      <c r="CY196" s="28">
        <v>0.62</v>
      </c>
      <c r="CZ196" s="29">
        <v>18.278045980000002</v>
      </c>
      <c r="DA196" s="27">
        <v>-1.5457736807420394E-2</v>
      </c>
      <c r="DC196" s="27">
        <v>1.1698744465812936</v>
      </c>
      <c r="DD196" s="27">
        <v>1</v>
      </c>
      <c r="DE196" s="27">
        <v>1.5</v>
      </c>
      <c r="DF196" s="27">
        <v>104</v>
      </c>
      <c r="DG196" s="28">
        <v>4.6443908991413725</v>
      </c>
      <c r="DH196" s="27">
        <v>1.0435000000000001</v>
      </c>
      <c r="DI196" s="27">
        <v>1.6</v>
      </c>
      <c r="DJ196" s="27">
        <v>0.7</v>
      </c>
      <c r="DK196" s="27">
        <v>1</v>
      </c>
      <c r="DL196" s="27">
        <v>1.7108786898118553E-2</v>
      </c>
      <c r="DM196" s="27">
        <v>0.8266</v>
      </c>
      <c r="DN196" s="28">
        <v>0.75860000000000005</v>
      </c>
      <c r="DO196" s="28">
        <v>-1.9643318686999211E-2</v>
      </c>
      <c r="DP196" s="28">
        <f t="shared" si="85"/>
        <v>0.13590765425312626</v>
      </c>
      <c r="DQ196" s="27">
        <v>0.10860000000000003</v>
      </c>
      <c r="DR196" s="27">
        <v>3.1335239457349999E-2</v>
      </c>
      <c r="DS196" s="27">
        <v>2.7611694356583942E-2</v>
      </c>
      <c r="DT196" s="27">
        <v>1.50675227484701E-2</v>
      </c>
      <c r="DU196" s="30">
        <v>6.1553740000000001</v>
      </c>
      <c r="DV196">
        <v>1.6</v>
      </c>
      <c r="DW196">
        <v>2.2999999999999998</v>
      </c>
      <c r="DX196">
        <v>107</v>
      </c>
      <c r="DY196">
        <v>107.5</v>
      </c>
      <c r="DZ196">
        <v>0.4</v>
      </c>
      <c r="EA196">
        <v>1.1000000000000001</v>
      </c>
      <c r="EB196">
        <v>1.4054869999999999</v>
      </c>
    </row>
    <row r="197" spans="1:132" ht="18">
      <c r="A197" s="14" t="s">
        <v>167</v>
      </c>
      <c r="B197" s="14">
        <v>1</v>
      </c>
      <c r="C197" s="14" t="s">
        <v>137</v>
      </c>
      <c r="D197" s="14" t="s">
        <v>168</v>
      </c>
      <c r="E197" s="14" t="s">
        <v>143</v>
      </c>
      <c r="F197" s="15">
        <v>9735</v>
      </c>
      <c r="G197" s="15">
        <v>3.9883359558560505</v>
      </c>
      <c r="H197" s="15">
        <v>5747</v>
      </c>
      <c r="I197" s="15">
        <v>1028</v>
      </c>
      <c r="J197" s="16">
        <v>2960</v>
      </c>
      <c r="K197" s="16">
        <v>1</v>
      </c>
      <c r="L197" s="17">
        <v>8.9397223038495441E-2</v>
      </c>
      <c r="M197" s="18">
        <v>153</v>
      </c>
      <c r="N197" s="18">
        <v>82</v>
      </c>
      <c r="O197" s="18">
        <v>0.92489370533923998</v>
      </c>
      <c r="P197" s="18">
        <v>3</v>
      </c>
      <c r="Q197" s="18">
        <f>(3+3+2)/3</f>
        <v>2.6666666666666665</v>
      </c>
      <c r="R197" s="18">
        <v>153</v>
      </c>
      <c r="S197" s="18">
        <v>5</v>
      </c>
      <c r="T197" s="19">
        <v>26709</v>
      </c>
      <c r="U197" s="19">
        <v>4.4266576280958052</v>
      </c>
      <c r="V197" s="20"/>
      <c r="W197" s="20"/>
      <c r="X197" s="20">
        <v>0</v>
      </c>
      <c r="Y197" s="20">
        <v>0.21395526140000001</v>
      </c>
      <c r="Z197" s="20">
        <f t="shared" si="86"/>
        <v>-0.66967702926001316</v>
      </c>
      <c r="AA197" s="20">
        <v>8.4261133599999996E-2</v>
      </c>
      <c r="AB197" s="18">
        <v>666</v>
      </c>
      <c r="AC197" s="20"/>
      <c r="AE197" s="21"/>
      <c r="AF197" s="21"/>
      <c r="AG197" s="22">
        <v>4.013921539817808E-2</v>
      </c>
      <c r="AH197" s="22">
        <v>4371</v>
      </c>
      <c r="AI197" s="22">
        <v>0.49930989689999999</v>
      </c>
      <c r="AJ197" s="22">
        <v>323865</v>
      </c>
      <c r="AK197" s="23">
        <f t="shared" si="68"/>
        <v>5.5103640164628365</v>
      </c>
      <c r="AL197" s="24">
        <v>0.307183604</v>
      </c>
      <c r="AM197" s="22">
        <v>58965</v>
      </c>
      <c r="AN197" s="22">
        <f t="shared" si="82"/>
        <v>0.54147994416691159</v>
      </c>
      <c r="AO197" s="23">
        <v>2.9868427105856375E-2</v>
      </c>
      <c r="AP197" s="23">
        <v>1.5272727809322144E-3</v>
      </c>
      <c r="AQ197" s="23">
        <v>-0.81608338817377846</v>
      </c>
      <c r="AR197" s="22">
        <v>108896</v>
      </c>
      <c r="AS197" s="23">
        <v>5.0370119274157155</v>
      </c>
      <c r="AT197" s="23">
        <f>LOG(104424)</f>
        <v>5.0188003250043227</v>
      </c>
      <c r="AU197" s="22">
        <v>2.3940000000000001</v>
      </c>
      <c r="AV197" s="22">
        <v>1.8511407</v>
      </c>
      <c r="AW197" s="22">
        <v>12.3</v>
      </c>
      <c r="AX197" s="22"/>
      <c r="AY197" s="22">
        <v>1</v>
      </c>
      <c r="AZ197" s="24">
        <v>86948</v>
      </c>
      <c r="BA197" s="24">
        <f t="shared" si="87"/>
        <v>4.9392595967015431</v>
      </c>
      <c r="BB197" s="24">
        <v>74188</v>
      </c>
      <c r="BC197" s="24">
        <f t="shared" si="88"/>
        <v>4.870333663294578</v>
      </c>
      <c r="BD197" s="24">
        <v>12760</v>
      </c>
      <c r="BE197" s="22">
        <v>2597</v>
      </c>
      <c r="BF197" s="22">
        <v>159</v>
      </c>
      <c r="BG197" s="23">
        <v>-0.10909090909090909</v>
      </c>
      <c r="BH197" s="23">
        <v>2.3848442550690567E-2</v>
      </c>
      <c r="BI197" s="23">
        <v>2.802037845705968E-2</v>
      </c>
      <c r="BJ197" s="23">
        <v>1.9487707181479425E-2</v>
      </c>
      <c r="BK197" s="23">
        <v>-0.14888934897016004</v>
      </c>
      <c r="BL197" s="22">
        <v>2926</v>
      </c>
      <c r="BM197" s="22">
        <v>10460</v>
      </c>
      <c r="BN197" s="22"/>
      <c r="BO197" s="22">
        <v>4.0195316845312554</v>
      </c>
      <c r="BP197" s="22">
        <v>0.12030178957537839</v>
      </c>
      <c r="BQ197" s="22">
        <v>1.4770275858391663E-2</v>
      </c>
      <c r="BR197" s="22"/>
      <c r="BS197" s="22">
        <v>-16016</v>
      </c>
      <c r="BT197" s="22">
        <v>4.2045540601352434</v>
      </c>
      <c r="BU197" s="22">
        <v>0.14707610931531001</v>
      </c>
      <c r="BV197" s="23">
        <v>11393</v>
      </c>
      <c r="BW197" s="22">
        <v>45601</v>
      </c>
      <c r="BX197" s="22">
        <v>34.74</v>
      </c>
      <c r="BY197" s="22">
        <v>1.5408298141110799</v>
      </c>
      <c r="BZ197" s="25">
        <v>-0.23005319148936162</v>
      </c>
      <c r="CA197" s="23">
        <v>6.0688564775993499E-2</v>
      </c>
      <c r="CB197" s="23">
        <v>6.0688564775993497</v>
      </c>
      <c r="CC197" s="23">
        <v>0.78310686698071941</v>
      </c>
      <c r="CD197" s="23">
        <v>3.268886E-2</v>
      </c>
      <c r="CE197" s="23">
        <v>3.9305854754660308E-2</v>
      </c>
      <c r="CF197" s="23">
        <v>1.9692648922686946</v>
      </c>
      <c r="CG197" s="23">
        <f t="shared" si="89"/>
        <v>0.67766032197904669</v>
      </c>
      <c r="CH197" s="26">
        <v>28.62</v>
      </c>
      <c r="CI197" s="26">
        <v>23.8</v>
      </c>
      <c r="CJ197" s="26">
        <v>1.4566696294237576</v>
      </c>
      <c r="CK197" s="26">
        <v>1.3765769570565121</v>
      </c>
      <c r="CL197" s="26">
        <v>0.20252100840336135</v>
      </c>
      <c r="CM197" s="27">
        <v>28.164291187739472</v>
      </c>
      <c r="CN197" s="27">
        <v>5.6821432935815153E-2</v>
      </c>
      <c r="CQ197" s="27">
        <v>125.09884615384618</v>
      </c>
      <c r="CR197" s="27">
        <v>0.13726223776223803</v>
      </c>
      <c r="CS197" s="27">
        <v>0.92386973180076593</v>
      </c>
      <c r="CT197" s="27">
        <v>1.0645593900000001</v>
      </c>
      <c r="CU197" s="27">
        <v>-0.12842478132003218</v>
      </c>
      <c r="CX197" s="36">
        <v>0.76</v>
      </c>
      <c r="CY197" s="28">
        <v>0.82</v>
      </c>
      <c r="CZ197" s="29">
        <v>37.275402300000003</v>
      </c>
      <c r="DA197" s="27">
        <v>0.32652677224199295</v>
      </c>
      <c r="DB197" s="27">
        <v>2.5105365885464708</v>
      </c>
      <c r="DC197" s="27">
        <v>1.25643310503606</v>
      </c>
      <c r="DD197" s="27">
        <v>1</v>
      </c>
      <c r="DE197" s="27">
        <v>1.5</v>
      </c>
      <c r="DF197" s="27">
        <v>92.1</v>
      </c>
      <c r="DG197" s="28">
        <v>4.5228749432612609</v>
      </c>
      <c r="DH197" s="27">
        <v>0.91827000000000003</v>
      </c>
      <c r="DI197" s="27">
        <v>4.8</v>
      </c>
      <c r="DJ197" s="27">
        <v>3.4</v>
      </c>
      <c r="DK197" s="27">
        <v>2.2999999999999998</v>
      </c>
      <c r="DL197" s="27">
        <v>1.1731637610823707E-2</v>
      </c>
      <c r="DM197" s="27">
        <v>0.95289999999999997</v>
      </c>
      <c r="DN197" s="28">
        <v>1.1605000000000001</v>
      </c>
      <c r="DO197" s="28">
        <v>9.3264248704663183E-2</v>
      </c>
      <c r="DP197" s="28">
        <v>-0.15237502223803603</v>
      </c>
      <c r="DQ197" s="27">
        <v>0.20879999999999999</v>
      </c>
      <c r="DR197" s="27">
        <v>6.0688564775993471E-2</v>
      </c>
      <c r="DS197" s="27">
        <v>3.9305854754660308E-2</v>
      </c>
      <c r="DT197" s="27">
        <v>3.268886E-2</v>
      </c>
      <c r="DU197" s="30">
        <v>5.7817160000000003</v>
      </c>
      <c r="DV197">
        <v>0.9</v>
      </c>
      <c r="DW197">
        <v>2.8</v>
      </c>
      <c r="DX197">
        <v>84</v>
      </c>
      <c r="DY197">
        <v>80.900000000000006</v>
      </c>
      <c r="DZ197">
        <v>2.2000000000000002</v>
      </c>
      <c r="EA197">
        <v>3</v>
      </c>
      <c r="EB197">
        <v>1.701892</v>
      </c>
    </row>
    <row r="198" spans="1:132" ht="18">
      <c r="A198" s="14" t="s">
        <v>167</v>
      </c>
      <c r="B198" s="14">
        <v>2</v>
      </c>
      <c r="C198" s="14" t="s">
        <v>137</v>
      </c>
      <c r="D198" s="14" t="s">
        <v>168</v>
      </c>
      <c r="E198" s="14" t="s">
        <v>143</v>
      </c>
      <c r="F198" s="15">
        <v>14665</v>
      </c>
      <c r="G198" s="15">
        <v>4.1662820673165708</v>
      </c>
      <c r="H198" s="15">
        <v>7736</v>
      </c>
      <c r="I198" s="15">
        <v>1584</v>
      </c>
      <c r="J198" s="16">
        <v>5345</v>
      </c>
      <c r="K198" s="16">
        <v>1</v>
      </c>
      <c r="L198" s="17">
        <v>0.12412608128925229</v>
      </c>
      <c r="M198" s="18">
        <v>153</v>
      </c>
      <c r="N198" s="18">
        <v>82</v>
      </c>
      <c r="O198" s="18">
        <v>0.92489370533923998</v>
      </c>
      <c r="P198" s="18">
        <v>3</v>
      </c>
      <c r="Q198" s="18">
        <f t="shared" ref="Q198:Q209" si="90">(3+3+2)/3</f>
        <v>2.6666666666666665</v>
      </c>
      <c r="R198" s="18">
        <v>153</v>
      </c>
      <c r="S198" s="18">
        <v>5</v>
      </c>
      <c r="T198" s="19">
        <v>25792</v>
      </c>
      <c r="U198" s="19">
        <v>4.4114850201249967</v>
      </c>
      <c r="V198" s="20"/>
      <c r="W198" s="20"/>
      <c r="X198" s="20">
        <v>0</v>
      </c>
      <c r="Y198" s="20">
        <v>0.1855859487</v>
      </c>
      <c r="Z198" s="20">
        <f t="shared" si="86"/>
        <v>-0.73145490868323337</v>
      </c>
      <c r="AA198" s="20">
        <v>0.1132637854</v>
      </c>
      <c r="AB198" s="18">
        <v>760</v>
      </c>
      <c r="AC198" s="20"/>
      <c r="AD198" s="31"/>
      <c r="AE198" s="21"/>
      <c r="AF198" s="21"/>
      <c r="AG198" s="22">
        <v>2.1167030623127317E-2</v>
      </c>
      <c r="AH198" s="22">
        <f>AH199*1.042</f>
        <v>2500.8000000000002</v>
      </c>
      <c r="AI198" s="22">
        <v>0.64115995469999998</v>
      </c>
      <c r="AJ198" s="22">
        <v>334873</v>
      </c>
      <c r="AK198" s="23">
        <f t="shared" si="68"/>
        <v>5.5248801328378176</v>
      </c>
      <c r="AL198" s="24">
        <v>0.30410432399999998</v>
      </c>
      <c r="AM198" s="22">
        <f>46270+48013</f>
        <v>94283</v>
      </c>
      <c r="AN198" s="22">
        <f t="shared" si="82"/>
        <v>0.79802109254651021</v>
      </c>
      <c r="AO198" s="23">
        <v>1.1826017237923432E-2</v>
      </c>
      <c r="AP198" s="33">
        <v>2.4508009999999998E-3</v>
      </c>
      <c r="AQ198" s="23">
        <v>-0.61069195113492891</v>
      </c>
      <c r="AR198" s="22">
        <v>118146</v>
      </c>
      <c r="AS198" s="23">
        <v>5.0724190225631016</v>
      </c>
      <c r="AT198" s="23">
        <v>5.0370119274157155</v>
      </c>
      <c r="AU198" s="22">
        <v>2.6269999999999998</v>
      </c>
      <c r="AV198" s="22">
        <v>2.298872732</v>
      </c>
      <c r="AW198" s="22">
        <v>15.3</v>
      </c>
      <c r="AX198" s="22">
        <v>12.3</v>
      </c>
      <c r="AY198" s="22">
        <v>1</v>
      </c>
      <c r="AZ198" s="24">
        <v>84813</v>
      </c>
      <c r="BA198" s="24">
        <f t="shared" si="87"/>
        <v>4.9284624253174556</v>
      </c>
      <c r="BB198" s="24">
        <v>74099</v>
      </c>
      <c r="BC198" s="24">
        <f t="shared" si="88"/>
        <v>4.8698123470155981</v>
      </c>
      <c r="BD198" s="24">
        <v>10714</v>
      </c>
      <c r="BE198" s="22">
        <v>1003</v>
      </c>
      <c r="BF198" s="22">
        <f>STDEVP(BE197:BE198)</f>
        <v>797</v>
      </c>
      <c r="BG198" s="23">
        <v>-0.61378513669618795</v>
      </c>
      <c r="BH198" s="23">
        <v>8.4894960472635551E-3</v>
      </c>
      <c r="BI198" s="23">
        <v>2.3848442550690567E-2</v>
      </c>
      <c r="BJ198" s="23">
        <v>1.9487707181479425E-2</v>
      </c>
      <c r="BK198" s="23">
        <v>-0.64402304136972965</v>
      </c>
      <c r="BL198" s="22">
        <v>2597</v>
      </c>
      <c r="BM198" s="22">
        <v>8371</v>
      </c>
      <c r="BN198" s="22">
        <f>STDEVP(BM197:BM198)</f>
        <v>1044.5</v>
      </c>
      <c r="BO198" s="22">
        <v>3.9227773419287977</v>
      </c>
      <c r="BP198" s="22">
        <v>9.8699491823187477E-2</v>
      </c>
      <c r="BQ198" s="22">
        <v>1.0801148876095457E-2</v>
      </c>
      <c r="BR198" s="22">
        <v>1.4770275858391663E-2</v>
      </c>
      <c r="BS198" s="22">
        <v>-15464</v>
      </c>
      <c r="BT198" s="22">
        <v>4.1893218410204964</v>
      </c>
      <c r="BU198" s="22">
        <v>0.13088890017436053</v>
      </c>
      <c r="BV198" s="23">
        <v>4041</v>
      </c>
      <c r="BW198" s="23">
        <v>54858</v>
      </c>
      <c r="BX198" s="22">
        <v>44.15</v>
      </c>
      <c r="BY198" s="22">
        <v>1.6449307079135873</v>
      </c>
      <c r="BZ198" s="25">
        <v>0.2708693149107656</v>
      </c>
      <c r="CA198" s="23">
        <v>3.9305854754660308E-2</v>
      </c>
      <c r="CB198" s="23">
        <v>3.9305854754660308</v>
      </c>
      <c r="CC198" s="23">
        <v>0.59445724498766661</v>
      </c>
      <c r="CD198" s="23">
        <v>6.0688564775993499E-2</v>
      </c>
      <c r="CE198" s="23">
        <v>2.6867542601332471E-2</v>
      </c>
      <c r="CF198" s="23">
        <v>1.6657163221667857</v>
      </c>
      <c r="CG198" s="23">
        <f t="shared" si="89"/>
        <v>0.51025525443639719</v>
      </c>
      <c r="CH198" s="26">
        <v>18.309999999999999</v>
      </c>
      <c r="CI198" s="26">
        <v>28.62</v>
      </c>
      <c r="CJ198" s="26">
        <v>1.2626883443016965</v>
      </c>
      <c r="CK198" s="26">
        <v>1.4566696294237576</v>
      </c>
      <c r="CL198" s="26">
        <v>-0.36023759608665273</v>
      </c>
      <c r="CM198" s="27">
        <v>22.615402298850572</v>
      </c>
      <c r="CN198" s="27">
        <v>-0.19701858825065877</v>
      </c>
      <c r="CQ198" s="27">
        <v>115.89653846153851</v>
      </c>
      <c r="CR198" s="27">
        <v>-7.3560292322686169E-2</v>
      </c>
      <c r="CS198" s="27">
        <v>0.92888888888888932</v>
      </c>
      <c r="CT198" s="27">
        <v>0.92386973180076604</v>
      </c>
      <c r="CU198" s="27">
        <v>5.4327541160378483E-3</v>
      </c>
      <c r="CX198" s="36">
        <v>0.66</v>
      </c>
      <c r="CY198" s="28">
        <v>0.76</v>
      </c>
      <c r="CZ198" s="29">
        <v>31.998965519999999</v>
      </c>
      <c r="DA198" s="27">
        <v>-0.14155277889515908</v>
      </c>
      <c r="DB198" s="27">
        <v>2.6347679627304119</v>
      </c>
      <c r="DC198" s="27">
        <v>2.5105365885464708</v>
      </c>
      <c r="DD198" s="27">
        <v>1</v>
      </c>
      <c r="DE198" s="27">
        <v>1.7</v>
      </c>
      <c r="DF198" s="27">
        <v>93.2</v>
      </c>
      <c r="DG198" s="28">
        <v>4.5347477216915459</v>
      </c>
      <c r="DH198" s="27">
        <v>0.92432999999999998</v>
      </c>
      <c r="DI198" s="27">
        <v>4.9000000000000004</v>
      </c>
      <c r="DJ198" s="27">
        <v>2.8</v>
      </c>
      <c r="DK198" s="27">
        <v>2</v>
      </c>
      <c r="DL198" s="27">
        <v>1.6216043547496031E-2</v>
      </c>
      <c r="DM198" s="27">
        <v>0.79400000000000004</v>
      </c>
      <c r="DN198" s="28">
        <v>1.1231</v>
      </c>
      <c r="DO198" s="28">
        <v>-3.2227488151658851E-2</v>
      </c>
      <c r="DP198" s="28">
        <v>-0.16675411900514214</v>
      </c>
      <c r="DQ198" s="27">
        <v>0.17130000000000001</v>
      </c>
      <c r="DR198" s="27">
        <v>3.9305854754660308E-2</v>
      </c>
      <c r="DS198" s="27">
        <v>2.6867542601332471E-2</v>
      </c>
      <c r="DT198" s="27">
        <v>6.0688564775993471E-2</v>
      </c>
      <c r="DU198" s="30">
        <v>5.9865389999999996</v>
      </c>
      <c r="DV198">
        <v>0.9</v>
      </c>
      <c r="DW198">
        <v>2.8</v>
      </c>
      <c r="DX198">
        <v>85.7</v>
      </c>
      <c r="DY198">
        <v>82.9</v>
      </c>
      <c r="DZ198">
        <v>2.4</v>
      </c>
      <c r="EA198">
        <v>2</v>
      </c>
      <c r="EB198">
        <v>1.4781599999999999</v>
      </c>
    </row>
    <row r="199" spans="1:132" ht="18">
      <c r="A199" s="14" t="s">
        <v>167</v>
      </c>
      <c r="B199" s="14">
        <v>3</v>
      </c>
      <c r="C199" s="14" t="s">
        <v>137</v>
      </c>
      <c r="D199" s="14" t="s">
        <v>168</v>
      </c>
      <c r="E199" s="14" t="s">
        <v>143</v>
      </c>
      <c r="F199" s="15">
        <v>14692</v>
      </c>
      <c r="G199" s="15">
        <v>4.1670809196732561</v>
      </c>
      <c r="H199" s="15">
        <v>6119</v>
      </c>
      <c r="I199" s="15">
        <v>1316</v>
      </c>
      <c r="J199" s="16">
        <v>7257</v>
      </c>
      <c r="K199" s="16">
        <v>1</v>
      </c>
      <c r="L199" s="17">
        <v>0.11571055035755914</v>
      </c>
      <c r="M199" s="18">
        <v>153</v>
      </c>
      <c r="N199" s="18">
        <v>82</v>
      </c>
      <c r="O199" s="18">
        <v>0.92489370533923998</v>
      </c>
      <c r="P199" s="18">
        <v>3</v>
      </c>
      <c r="Q199" s="18">
        <f t="shared" si="90"/>
        <v>2.6666666666666665</v>
      </c>
      <c r="R199" s="18">
        <v>153</v>
      </c>
      <c r="S199" s="18">
        <v>5</v>
      </c>
      <c r="T199" s="19">
        <v>24704</v>
      </c>
      <c r="U199" s="19">
        <v>4.3927672786556418</v>
      </c>
      <c r="V199" s="20"/>
      <c r="W199" s="20"/>
      <c r="X199" s="20">
        <v>0</v>
      </c>
      <c r="Y199" s="20">
        <v>0.1746929045</v>
      </c>
      <c r="Z199" s="20">
        <f t="shared" si="86"/>
        <v>-0.75772473439358234</v>
      </c>
      <c r="AA199" s="20">
        <v>0.112294638</v>
      </c>
      <c r="AB199" s="18">
        <v>622</v>
      </c>
      <c r="AC199" s="20"/>
      <c r="AD199" s="31"/>
      <c r="AE199" s="21"/>
      <c r="AF199" s="21"/>
      <c r="AG199" s="22">
        <v>1.890180512238919E-2</v>
      </c>
      <c r="AH199" s="22">
        <v>2400</v>
      </c>
      <c r="AI199" s="22">
        <v>0.49672329589999997</v>
      </c>
      <c r="AJ199" s="22">
        <v>343016</v>
      </c>
      <c r="AK199" s="23">
        <f t="shared" si="68"/>
        <v>5.5353143782050047</v>
      </c>
      <c r="AL199" s="24">
        <v>0.27768847699999999</v>
      </c>
      <c r="AM199" s="22">
        <f>54346+48669</f>
        <v>103015</v>
      </c>
      <c r="AN199" s="22">
        <f t="shared" si="82"/>
        <v>0.81132060611788426</v>
      </c>
      <c r="AO199" s="23">
        <v>8.0482897384305842E-3</v>
      </c>
      <c r="AP199" s="33">
        <v>6.11234E-3</v>
      </c>
      <c r="AQ199" s="23">
        <v>-0.21379249605262821</v>
      </c>
      <c r="AR199" s="22">
        <v>126972</v>
      </c>
      <c r="AS199" s="23">
        <v>5.103707960434777</v>
      </c>
      <c r="AT199" s="23">
        <v>5.0724190225631016</v>
      </c>
      <c r="AU199" s="22">
        <v>2.86</v>
      </c>
      <c r="AV199" s="22">
        <v>2.5496932000000001</v>
      </c>
      <c r="AW199" s="22">
        <v>11.9</v>
      </c>
      <c r="AX199" s="22">
        <v>15.3</v>
      </c>
      <c r="AY199" s="22">
        <v>1</v>
      </c>
      <c r="AZ199" s="24">
        <v>88963</v>
      </c>
      <c r="BA199" s="24">
        <f t="shared" si="87"/>
        <v>4.9492094197132257</v>
      </c>
      <c r="BB199" s="24">
        <v>78440</v>
      </c>
      <c r="BC199" s="24">
        <f t="shared" si="88"/>
        <v>4.8945375849957466</v>
      </c>
      <c r="BD199" s="24">
        <v>10523</v>
      </c>
      <c r="BE199" s="22">
        <v>716</v>
      </c>
      <c r="BF199" s="22">
        <f t="shared" ref="BF199:BF209" si="91">STDEVP(BE198:BE199)</f>
        <v>143.5</v>
      </c>
      <c r="BG199" s="23">
        <v>-0.28614157527417744</v>
      </c>
      <c r="BH199" s="23">
        <v>5.639038528179441E-3</v>
      </c>
      <c r="BI199" s="23">
        <v>8.4894960472635551E-3</v>
      </c>
      <c r="BJ199" s="23">
        <v>1.9487707181479425E-2</v>
      </c>
      <c r="BK199" s="23">
        <v>-0.33576286545335171</v>
      </c>
      <c r="BL199" s="22">
        <v>1003</v>
      </c>
      <c r="BM199" s="22">
        <v>11494</v>
      </c>
      <c r="BN199" s="22">
        <f t="shared" ref="BN199:BN208" si="92">STDEVP(BM198:BM199)</f>
        <v>1561.5</v>
      </c>
      <c r="BO199" s="22">
        <v>4.0604711927976789</v>
      </c>
      <c r="BP199" s="22">
        <v>0.12919977968368873</v>
      </c>
      <c r="BQ199" s="22">
        <v>1.5250143930250525E-2</v>
      </c>
      <c r="BR199" s="22">
        <v>1.0801148876095457E-2</v>
      </c>
      <c r="BS199" s="22">
        <v>-15079</v>
      </c>
      <c r="BT199" s="22">
        <v>4.1783725412099999</v>
      </c>
      <c r="BU199" s="22">
        <v>0.1187584664335444</v>
      </c>
      <c r="BV199" s="23">
        <v>9111</v>
      </c>
      <c r="BW199" s="22">
        <v>61083</v>
      </c>
      <c r="BX199" s="22">
        <v>33.35</v>
      </c>
      <c r="BY199" s="22">
        <v>1.5230958382525679</v>
      </c>
      <c r="BZ199" s="25">
        <v>-0.24462061155152881</v>
      </c>
      <c r="CA199" s="23">
        <v>2.6867542601332471E-2</v>
      </c>
      <c r="CB199" s="23">
        <v>2.686754260133247</v>
      </c>
      <c r="CC199" s="23">
        <v>0.4292279461694487</v>
      </c>
      <c r="CD199" s="23">
        <v>3.9305854754660308E-2</v>
      </c>
      <c r="CE199" s="23">
        <v>3.2347817198611614E-2</v>
      </c>
      <c r="CF199" s="23">
        <v>1.4812129202373103</v>
      </c>
      <c r="CG199" s="23">
        <f t="shared" si="89"/>
        <v>0.39286129283679683</v>
      </c>
      <c r="CH199" s="26">
        <v>13.29</v>
      </c>
      <c r="CI199" s="26">
        <v>18.309999999999999</v>
      </c>
      <c r="CJ199" s="26">
        <v>1.1235249809427319</v>
      </c>
      <c r="CK199" s="26">
        <v>1.2626883443016965</v>
      </c>
      <c r="CL199" s="26">
        <v>-0.27416712179137082</v>
      </c>
      <c r="CM199" s="27">
        <v>16.030268199233717</v>
      </c>
      <c r="CN199" s="27">
        <v>-0.29117917128326054</v>
      </c>
      <c r="CQ199" s="27">
        <v>102.09153846153851</v>
      </c>
      <c r="CR199" s="27">
        <v>-0.11911486040268011</v>
      </c>
      <c r="CS199" s="27">
        <v>0.9859003831417622</v>
      </c>
      <c r="CT199" s="27">
        <v>0.92888888888888899</v>
      </c>
      <c r="CU199" s="27">
        <v>6.1376010559312889E-2</v>
      </c>
      <c r="CV199" s="27">
        <v>1.140877862595419</v>
      </c>
      <c r="CW199" s="27">
        <v>2.0572391532349976</v>
      </c>
      <c r="CX199" s="36">
        <v>1.07</v>
      </c>
      <c r="CY199" s="28">
        <v>0.66</v>
      </c>
      <c r="CZ199" s="29">
        <v>18.886297710000001</v>
      </c>
      <c r="DA199" s="27">
        <v>-0.40978411635852152</v>
      </c>
      <c r="DB199" s="27">
        <v>266.87708664986224</v>
      </c>
      <c r="DC199" s="27">
        <v>2.6347679627304119</v>
      </c>
      <c r="DD199" s="27">
        <v>1</v>
      </c>
      <c r="DE199" s="27">
        <v>1.9</v>
      </c>
      <c r="DF199" s="27">
        <v>94.2</v>
      </c>
      <c r="DG199" s="28">
        <v>4.5454201815823172</v>
      </c>
      <c r="DH199" s="27">
        <v>0.93801999999999996</v>
      </c>
      <c r="DI199" s="27">
        <v>4.9000000000000004</v>
      </c>
      <c r="DJ199" s="27">
        <v>2.9</v>
      </c>
      <c r="DK199" s="27">
        <v>2.1</v>
      </c>
      <c r="DL199" s="27">
        <v>1.3035848693861207E-2</v>
      </c>
      <c r="DM199" s="27">
        <v>0.73780000000000001</v>
      </c>
      <c r="DN199" s="28">
        <v>0.95269999999999999</v>
      </c>
      <c r="DO199" s="28">
        <v>-0.15172290980322323</v>
      </c>
      <c r="DP199" s="28">
        <v>-7.0780856423173832E-2</v>
      </c>
      <c r="DQ199" s="27">
        <v>0.11370000000000002</v>
      </c>
      <c r="DR199" s="27">
        <v>2.6867542601332471E-2</v>
      </c>
      <c r="DS199" s="27">
        <v>3.2347817198611614E-2</v>
      </c>
      <c r="DT199" s="27">
        <v>3.9305854754660308E-2</v>
      </c>
      <c r="DU199" s="30">
        <v>5.5230399999999999</v>
      </c>
      <c r="DV199">
        <v>0.3</v>
      </c>
      <c r="DW199">
        <v>2.6</v>
      </c>
      <c r="DX199">
        <v>88</v>
      </c>
      <c r="DY199">
        <v>85.1</v>
      </c>
      <c r="DZ199">
        <v>2</v>
      </c>
      <c r="EA199">
        <v>1.5</v>
      </c>
      <c r="EB199">
        <v>1.913224</v>
      </c>
    </row>
    <row r="200" spans="1:132" ht="18">
      <c r="A200" s="14" t="s">
        <v>167</v>
      </c>
      <c r="B200" s="14">
        <v>4</v>
      </c>
      <c r="C200" s="14" t="s">
        <v>137</v>
      </c>
      <c r="D200" s="14" t="s">
        <v>168</v>
      </c>
      <c r="E200" s="14" t="s">
        <v>143</v>
      </c>
      <c r="F200" s="15">
        <v>32106</v>
      </c>
      <c r="G200" s="15">
        <v>4.5065862013578988</v>
      </c>
      <c r="H200" s="15">
        <v>19610</v>
      </c>
      <c r="I200" s="15">
        <v>6770</v>
      </c>
      <c r="J200" s="16">
        <v>5726</v>
      </c>
      <c r="K200" s="16">
        <v>1</v>
      </c>
      <c r="L200" s="17">
        <v>0.24125156859356331</v>
      </c>
      <c r="M200" s="18">
        <v>153</v>
      </c>
      <c r="N200" s="18">
        <v>82</v>
      </c>
      <c r="O200" s="18">
        <v>0.92489370533923998</v>
      </c>
      <c r="P200" s="18">
        <v>3</v>
      </c>
      <c r="Q200" s="18">
        <f t="shared" si="90"/>
        <v>2.6666666666666665</v>
      </c>
      <c r="R200" s="18">
        <v>153</v>
      </c>
      <c r="S200" s="18">
        <v>5</v>
      </c>
      <c r="T200" s="19">
        <v>25909</v>
      </c>
      <c r="U200" s="19">
        <v>4.4134506510073246</v>
      </c>
      <c r="V200" s="20"/>
      <c r="W200" s="20"/>
      <c r="X200" s="20">
        <v>0</v>
      </c>
      <c r="Y200" s="20">
        <v>0.20799196010000001</v>
      </c>
      <c r="Z200" s="20">
        <f t="shared" si="86"/>
        <v>-0.68195345230497628</v>
      </c>
      <c r="AA200" s="20">
        <v>0.1221391344</v>
      </c>
      <c r="AB200" s="18">
        <v>539</v>
      </c>
      <c r="AC200" s="20"/>
      <c r="AD200" s="31"/>
      <c r="AE200" s="21"/>
      <c r="AF200" s="21"/>
      <c r="AG200" s="22">
        <v>1.4738392407631444E-2</v>
      </c>
      <c r="AH200" s="22">
        <f>0.934*AH201</f>
        <v>1961.4</v>
      </c>
      <c r="AI200" s="22">
        <v>0.67238973229999999</v>
      </c>
      <c r="AJ200" s="23">
        <v>344902</v>
      </c>
      <c r="AK200" s="23">
        <f t="shared" si="68"/>
        <v>5.5376957127392243</v>
      </c>
      <c r="AL200" s="24">
        <v>0.27563938900000001</v>
      </c>
      <c r="AM200" s="22">
        <f>56125+53309</f>
        <v>109434</v>
      </c>
      <c r="AN200" s="22">
        <f t="shared" si="82"/>
        <v>0.82231122399140377</v>
      </c>
      <c r="AO200" s="23">
        <v>1.1915400655347037E-2</v>
      </c>
      <c r="AP200" s="33">
        <v>1.818225E-2</v>
      </c>
      <c r="AQ200" s="23">
        <v>0.25964762487721865</v>
      </c>
      <c r="AR200" s="23">
        <v>133081</v>
      </c>
      <c r="AS200" s="23">
        <v>5.1241160555936158</v>
      </c>
      <c r="AT200" s="23">
        <v>5.103707960434777</v>
      </c>
      <c r="AU200" s="22">
        <v>2.9809999999999999</v>
      </c>
      <c r="AV200" s="22">
        <v>2.6221508010000001</v>
      </c>
      <c r="AW200" s="22">
        <v>15.9</v>
      </c>
      <c r="AX200" s="22">
        <v>11.9</v>
      </c>
      <c r="AY200" s="22">
        <v>1</v>
      </c>
      <c r="AZ200" s="24">
        <v>93996</v>
      </c>
      <c r="BA200" s="24">
        <f t="shared" si="87"/>
        <v>4.9731093725902316</v>
      </c>
      <c r="BB200" s="24">
        <v>81733</v>
      </c>
      <c r="BC200" s="24">
        <f t="shared" si="88"/>
        <v>4.91239743993843</v>
      </c>
      <c r="BD200" s="24">
        <v>12263</v>
      </c>
      <c r="BE200" s="23">
        <v>1120</v>
      </c>
      <c r="BF200" s="22">
        <f t="shared" si="91"/>
        <v>202</v>
      </c>
      <c r="BG200" s="23">
        <v>0.56424581005586594</v>
      </c>
      <c r="BH200" s="23">
        <v>8.4159271421164559E-3</v>
      </c>
      <c r="BI200" s="23">
        <v>5.639038528179441E-3</v>
      </c>
      <c r="BJ200" s="23">
        <v>1.9487707181479425E-2</v>
      </c>
      <c r="BK200" s="23">
        <v>0.49244008531956796</v>
      </c>
      <c r="BL200" s="22">
        <v>716</v>
      </c>
      <c r="BM200" s="22">
        <v>10709</v>
      </c>
      <c r="BN200" s="22">
        <f t="shared" si="92"/>
        <v>392.5</v>
      </c>
      <c r="BO200" s="22">
        <v>4.0297489185668365</v>
      </c>
      <c r="BP200" s="22">
        <v>0.1139303800161709</v>
      </c>
      <c r="BQ200" s="22">
        <v>7.6346998337589178E-3</v>
      </c>
      <c r="BR200" s="22">
        <v>1.5250143930250525E-2</v>
      </c>
      <c r="BS200" s="22">
        <v>-11185</v>
      </c>
      <c r="BT200" s="22">
        <v>4.0486359884326486</v>
      </c>
      <c r="BU200" s="22">
        <v>8.4046558111225494E-2</v>
      </c>
      <c r="BV200" s="23">
        <v>12979</v>
      </c>
      <c r="BW200" s="22">
        <v>62006</v>
      </c>
      <c r="BX200" s="22">
        <v>44.61</v>
      </c>
      <c r="BY200" s="22">
        <v>1.6494322232416165</v>
      </c>
      <c r="BZ200" s="25">
        <v>0.33763118440779605</v>
      </c>
      <c r="CA200" s="23">
        <v>3.2347817198611614E-2</v>
      </c>
      <c r="CB200" s="23">
        <v>3.2347817198611613</v>
      </c>
      <c r="CC200" s="23">
        <v>0.50984498019539259</v>
      </c>
      <c r="CD200" s="23">
        <v>2.6867542601332471E-2</v>
      </c>
      <c r="CE200" s="23">
        <v>2.4490842135800685E-2</v>
      </c>
      <c r="CF200" s="23">
        <v>1.7064566929133858</v>
      </c>
      <c r="CG200" s="23">
        <f t="shared" si="89"/>
        <v>0.53441911131824837</v>
      </c>
      <c r="CH200" s="26">
        <v>12.07</v>
      </c>
      <c r="CI200" s="26">
        <v>13.29</v>
      </c>
      <c r="CJ200" s="26">
        <v>1.0817072700973491</v>
      </c>
      <c r="CK200" s="26">
        <v>1.1235249809427319</v>
      </c>
      <c r="CL200" s="26">
        <v>-9.1798344620014974E-2</v>
      </c>
      <c r="CM200" s="27">
        <v>13.248115384615385</v>
      </c>
      <c r="CN200" s="27">
        <v>-0.17355622376619531</v>
      </c>
      <c r="CQ200" s="27">
        <v>81.715444015443992</v>
      </c>
      <c r="CR200" s="27">
        <v>-0.1995865157206041</v>
      </c>
      <c r="CS200" s="27">
        <v>0.91873076923076902</v>
      </c>
      <c r="CT200" s="27">
        <v>0.9859003831417622</v>
      </c>
      <c r="CU200" s="27">
        <v>-6.8130223965370842E-2</v>
      </c>
      <c r="CV200" s="27">
        <v>1.0315769230769232</v>
      </c>
      <c r="CW200" s="27">
        <v>2.0135016181765906</v>
      </c>
      <c r="CX200" s="36">
        <v>0.94</v>
      </c>
      <c r="CY200" s="28">
        <v>1.07</v>
      </c>
      <c r="CZ200" s="29">
        <v>14.03142308</v>
      </c>
      <c r="DA200" s="27">
        <v>-0.25705803776615366</v>
      </c>
      <c r="DB200" s="27">
        <v>1.72976924253802</v>
      </c>
      <c r="DC200" s="27">
        <v>266.87708664986224</v>
      </c>
      <c r="DD200" s="27">
        <v>1</v>
      </c>
      <c r="DE200" s="27">
        <v>1.2</v>
      </c>
      <c r="DF200" s="27">
        <v>94.8</v>
      </c>
      <c r="DG200" s="28">
        <v>4.5517694092609764</v>
      </c>
      <c r="DH200" s="27">
        <v>0.94384000000000001</v>
      </c>
      <c r="DI200" s="27">
        <v>4.5</v>
      </c>
      <c r="DJ200" s="27">
        <v>2.7</v>
      </c>
      <c r="DK200" s="27">
        <v>1.5</v>
      </c>
      <c r="DL200" s="27">
        <v>8.4498661866614921E-3</v>
      </c>
      <c r="DM200" s="27">
        <v>0.84399999999999997</v>
      </c>
      <c r="DN200" s="28">
        <v>0.79300000000000004</v>
      </c>
      <c r="DO200" s="28">
        <v>-0.167628844337147</v>
      </c>
      <c r="DP200" s="28">
        <v>0.14394144754676058</v>
      </c>
      <c r="DQ200" s="27">
        <v>0.11509999999999998</v>
      </c>
      <c r="DR200" s="27">
        <v>3.2347817198611614E-2</v>
      </c>
      <c r="DS200" s="27">
        <v>2.4490842135800685E-2</v>
      </c>
      <c r="DT200" s="27">
        <v>2.6867542601332471E-2</v>
      </c>
      <c r="DU200" s="30">
        <v>5.0767810000000004</v>
      </c>
      <c r="DV200">
        <v>-0.3</v>
      </c>
      <c r="DW200">
        <v>0.7</v>
      </c>
      <c r="DX200">
        <v>90.9</v>
      </c>
      <c r="DY200">
        <v>87.4</v>
      </c>
      <c r="DZ200">
        <v>1.6</v>
      </c>
      <c r="EA200">
        <v>1</v>
      </c>
      <c r="EB200">
        <v>2.1595819999999999</v>
      </c>
    </row>
    <row r="201" spans="1:132" ht="18">
      <c r="A201" s="14" t="s">
        <v>167</v>
      </c>
      <c r="B201" s="14">
        <v>5</v>
      </c>
      <c r="C201" s="14" t="s">
        <v>137</v>
      </c>
      <c r="D201" s="14" t="s">
        <v>168</v>
      </c>
      <c r="E201" s="14" t="s">
        <v>143</v>
      </c>
      <c r="F201" s="15">
        <v>32092</v>
      </c>
      <c r="G201" s="15">
        <v>4.506396783530457</v>
      </c>
      <c r="H201" s="15">
        <v>21287</v>
      </c>
      <c r="I201" s="15">
        <v>6412</v>
      </c>
      <c r="J201" s="16">
        <v>4393</v>
      </c>
      <c r="K201" s="16">
        <v>1</v>
      </c>
      <c r="L201" s="17">
        <v>0.23492895470816894</v>
      </c>
      <c r="M201" s="18">
        <v>153</v>
      </c>
      <c r="N201" s="18">
        <v>82</v>
      </c>
      <c r="O201" s="18">
        <v>0.92489370533923998</v>
      </c>
      <c r="P201" s="18">
        <v>3</v>
      </c>
      <c r="Q201" s="18">
        <f t="shared" si="90"/>
        <v>2.6666666666666665</v>
      </c>
      <c r="R201" s="18">
        <v>153</v>
      </c>
      <c r="S201" s="18">
        <v>5</v>
      </c>
      <c r="T201" s="19">
        <v>30120</v>
      </c>
      <c r="U201" s="19">
        <v>4.4788549675286626</v>
      </c>
      <c r="V201" s="20"/>
      <c r="W201" s="20"/>
      <c r="X201" s="20">
        <v>0</v>
      </c>
      <c r="Y201" s="20">
        <v>0.19568372849999999</v>
      </c>
      <c r="Z201" s="20">
        <f t="shared" si="86"/>
        <v>-0.70844528531009376</v>
      </c>
      <c r="AA201" s="20">
        <v>0.11090474929999999</v>
      </c>
      <c r="AB201" s="18">
        <v>418</v>
      </c>
      <c r="AC201" s="20"/>
      <c r="AD201" s="31"/>
      <c r="AE201" s="21"/>
      <c r="AF201" s="21"/>
      <c r="AG201" s="22">
        <v>1.5373015233926049E-2</v>
      </c>
      <c r="AH201" s="22">
        <v>2100</v>
      </c>
      <c r="AI201" s="22">
        <v>1.135056938</v>
      </c>
      <c r="AJ201" s="23">
        <v>324875</v>
      </c>
      <c r="AK201" s="23">
        <f t="shared" si="68"/>
        <v>5.5117162925090692</v>
      </c>
      <c r="AL201" s="24">
        <v>0.28719904600000001</v>
      </c>
      <c r="AM201" s="22">
        <f>56159+53485</f>
        <v>109644</v>
      </c>
      <c r="AN201" s="22">
        <f t="shared" si="82"/>
        <v>0.80264708681361319</v>
      </c>
      <c r="AO201" s="23">
        <v>2.6221692491060787E-2</v>
      </c>
      <c r="AP201" s="33">
        <v>1.9736066E-2</v>
      </c>
      <c r="AQ201" s="23">
        <v>0.29526058882196532</v>
      </c>
      <c r="AR201" s="23">
        <v>136603</v>
      </c>
      <c r="AS201" s="23">
        <v>5.1354602371869413</v>
      </c>
      <c r="AT201" s="23">
        <v>5.1241160555936158</v>
      </c>
      <c r="AU201" s="22">
        <v>2.4830000000000001</v>
      </c>
      <c r="AV201" s="22">
        <v>2.179494788</v>
      </c>
      <c r="AW201" s="22">
        <v>30.6</v>
      </c>
      <c r="AX201" s="22">
        <v>15.9</v>
      </c>
      <c r="AY201" s="22">
        <v>1</v>
      </c>
      <c r="AZ201" s="24">
        <v>104875</v>
      </c>
      <c r="BA201" s="24">
        <f t="shared" si="87"/>
        <v>5.0206719738367571</v>
      </c>
      <c r="BB201" s="24">
        <v>91020</v>
      </c>
      <c r="BC201" s="24">
        <f t="shared" si="88"/>
        <v>4.9591368311703743</v>
      </c>
      <c r="BD201" s="24">
        <v>13855</v>
      </c>
      <c r="BE201" s="23">
        <v>2750</v>
      </c>
      <c r="BF201" s="22">
        <f t="shared" si="91"/>
        <v>815</v>
      </c>
      <c r="BG201" s="23">
        <v>1.4553571428571428</v>
      </c>
      <c r="BH201" s="23">
        <v>2.0131329472998397E-2</v>
      </c>
      <c r="BI201" s="23">
        <v>8.4159271421164559E-3</v>
      </c>
      <c r="BJ201" s="23">
        <v>1.9487707181479425E-2</v>
      </c>
      <c r="BK201" s="23">
        <v>1.3920513014250888</v>
      </c>
      <c r="BL201" s="23">
        <v>1120</v>
      </c>
      <c r="BM201" s="22">
        <v>14470</v>
      </c>
      <c r="BN201" s="22">
        <f t="shared" si="92"/>
        <v>1880.5</v>
      </c>
      <c r="BO201" s="22">
        <v>4.1604685311190375</v>
      </c>
      <c r="BP201" s="22">
        <v>0.13797377830750893</v>
      </c>
      <c r="BQ201" s="22">
        <v>1.2021699145669015E-2</v>
      </c>
      <c r="BR201" s="22">
        <v>7.6346998337589178E-3</v>
      </c>
      <c r="BS201" s="22">
        <v>-12898</v>
      </c>
      <c r="BT201" s="22">
        <v>4.1105223726013227</v>
      </c>
      <c r="BU201" s="22">
        <v>9.4419595470084841E-2</v>
      </c>
      <c r="BV201" s="23">
        <v>13012</v>
      </c>
      <c r="BW201" s="22">
        <v>58757</v>
      </c>
      <c r="BX201" s="22">
        <v>85.89</v>
      </c>
      <c r="BY201" s="22">
        <v>1.9339426027412612</v>
      </c>
      <c r="BZ201" s="25">
        <v>0.92535305985205119</v>
      </c>
      <c r="CA201" s="23">
        <v>2.4490842135800685E-2</v>
      </c>
      <c r="CB201" s="23">
        <v>2.4490842135800683</v>
      </c>
      <c r="CC201" s="23">
        <v>0.38900371891986085</v>
      </c>
      <c r="CD201" s="23">
        <v>3.2347817198611614E-2</v>
      </c>
      <c r="CE201" s="23">
        <v>2.77430650961079E-2</v>
      </c>
      <c r="CF201" s="23">
        <v>1.9776286353467563</v>
      </c>
      <c r="CG201" s="23">
        <f t="shared" si="89"/>
        <v>0.68189846802407461</v>
      </c>
      <c r="CH201" s="26">
        <v>11.56</v>
      </c>
      <c r="CI201" s="26">
        <v>12.07</v>
      </c>
      <c r="CJ201" s="26">
        <v>1.0629578340845103</v>
      </c>
      <c r="CK201" s="26">
        <v>1.0817072700973491</v>
      </c>
      <c r="CL201" s="26">
        <v>-4.2253521126760542E-2</v>
      </c>
      <c r="CM201" s="27">
        <v>13.296884615384608</v>
      </c>
      <c r="CN201" s="27">
        <v>3.681220260646025E-3</v>
      </c>
      <c r="CQ201" s="27">
        <v>67.989575289575299</v>
      </c>
      <c r="CR201" s="27">
        <v>-0.167971536975</v>
      </c>
      <c r="CS201" s="27">
        <v>0.84238461538461584</v>
      </c>
      <c r="CT201" s="27">
        <v>0.91873076923076902</v>
      </c>
      <c r="CU201" s="27">
        <v>-8.3099593921379125E-2</v>
      </c>
      <c r="CV201" s="27">
        <v>0.92230769230769172</v>
      </c>
      <c r="CW201" s="27">
        <v>1.9648758307920116</v>
      </c>
      <c r="CX201" s="36">
        <v>0.56000000000000005</v>
      </c>
      <c r="CY201" s="28">
        <v>0.94</v>
      </c>
      <c r="CZ201" s="29">
        <v>16.52657692</v>
      </c>
      <c r="DA201" s="27">
        <v>0.17782614249273998</v>
      </c>
      <c r="DB201" s="27">
        <v>1.322681365714484</v>
      </c>
      <c r="DC201" s="27">
        <v>1.72976924253802</v>
      </c>
      <c r="DD201" s="27">
        <v>1</v>
      </c>
      <c r="DE201" s="27">
        <v>0.7</v>
      </c>
      <c r="DF201" s="27">
        <v>95.1</v>
      </c>
      <c r="DG201" s="28">
        <v>4.5549289695513444</v>
      </c>
      <c r="DH201" s="27">
        <v>0.95021</v>
      </c>
      <c r="DI201" s="27">
        <v>4.5</v>
      </c>
      <c r="DJ201" s="27">
        <v>3.5</v>
      </c>
      <c r="DK201" s="27">
        <v>1.8</v>
      </c>
      <c r="DL201" s="27">
        <v>7.6672365931182819E-3</v>
      </c>
      <c r="DM201" s="27">
        <v>0.75770000000000004</v>
      </c>
      <c r="DN201" s="28">
        <v>0.74250000000000005</v>
      </c>
      <c r="DO201" s="28">
        <v>-6.3682219419924316E-2</v>
      </c>
      <c r="DP201" s="28">
        <v>-0.10225118483412314</v>
      </c>
      <c r="DQ201" s="27">
        <v>9.7799999999999998E-2</v>
      </c>
      <c r="DR201" s="27">
        <v>2.4490842135800685E-2</v>
      </c>
      <c r="DS201" s="27">
        <v>2.77430650961079E-2</v>
      </c>
      <c r="DT201" s="27">
        <v>3.2347817198611614E-2</v>
      </c>
      <c r="DU201" s="30">
        <v>4.6174650000000002</v>
      </c>
      <c r="DV201">
        <v>-0.5</v>
      </c>
      <c r="DW201">
        <v>-0.4</v>
      </c>
      <c r="DX201">
        <v>93.7</v>
      </c>
      <c r="DY201">
        <v>89.8</v>
      </c>
      <c r="DZ201">
        <v>1.6</v>
      </c>
      <c r="EA201">
        <v>1.7</v>
      </c>
      <c r="EB201">
        <v>2.2385109999999999</v>
      </c>
    </row>
    <row r="202" spans="1:132" ht="18">
      <c r="A202" s="14" t="s">
        <v>167</v>
      </c>
      <c r="B202" s="14">
        <v>6</v>
      </c>
      <c r="C202" s="14" t="s">
        <v>137</v>
      </c>
      <c r="D202" s="14" t="s">
        <v>168</v>
      </c>
      <c r="E202" s="14" t="s">
        <v>143</v>
      </c>
      <c r="F202" s="15">
        <v>34100</v>
      </c>
      <c r="G202" s="15">
        <v>4.5327543789924976</v>
      </c>
      <c r="H202" s="15">
        <v>24088</v>
      </c>
      <c r="I202" s="15">
        <v>4723</v>
      </c>
      <c r="J202" s="16">
        <v>5289</v>
      </c>
      <c r="K202" s="16">
        <v>1</v>
      </c>
      <c r="L202" s="17">
        <v>0.23459482515461932</v>
      </c>
      <c r="M202" s="18">
        <v>153</v>
      </c>
      <c r="N202" s="18">
        <v>82</v>
      </c>
      <c r="O202" s="18">
        <v>0.92489370533923998</v>
      </c>
      <c r="P202" s="18">
        <v>3</v>
      </c>
      <c r="Q202" s="18">
        <f t="shared" si="90"/>
        <v>2.6666666666666665</v>
      </c>
      <c r="R202" s="18">
        <v>153</v>
      </c>
      <c r="S202" s="18">
        <v>5</v>
      </c>
      <c r="T202" s="19">
        <v>31194</v>
      </c>
      <c r="U202" s="19">
        <v>4.4940710678172229</v>
      </c>
      <c r="V202" s="20"/>
      <c r="W202" s="20"/>
      <c r="X202" s="20">
        <v>0</v>
      </c>
      <c r="Y202" s="20">
        <v>0.19831750519999999</v>
      </c>
      <c r="Z202" s="20">
        <f t="shared" si="86"/>
        <v>-0.70263894955552542</v>
      </c>
      <c r="AA202" s="20">
        <v>0.1220626632</v>
      </c>
      <c r="AB202" s="18">
        <v>561</v>
      </c>
      <c r="AC202" s="20"/>
      <c r="AD202" s="31"/>
      <c r="AE202" s="21"/>
      <c r="AF202" s="21"/>
      <c r="AG202" s="22">
        <v>1.424080023665871E-2</v>
      </c>
      <c r="AH202" s="22">
        <f>0.69*AH203</f>
        <v>2070</v>
      </c>
      <c r="AI202" s="22">
        <v>1.7533972069999999</v>
      </c>
      <c r="AJ202" s="23">
        <v>329305</v>
      </c>
      <c r="AK202" s="23">
        <f t="shared" si="68"/>
        <v>5.5175983248689811</v>
      </c>
      <c r="AL202" s="24">
        <v>0.28645417200000001</v>
      </c>
      <c r="AM202" s="22">
        <f>57351+56068</f>
        <v>113419</v>
      </c>
      <c r="AN202" s="22">
        <f t="shared" si="82"/>
        <v>0.78027889953700202</v>
      </c>
      <c r="AO202" s="23">
        <v>3.7852282432022918E-2</v>
      </c>
      <c r="AP202" s="33">
        <v>2.5736539999999999E-2</v>
      </c>
      <c r="AQ202" s="23">
        <v>0.41055016028744346</v>
      </c>
      <c r="AR202" s="23">
        <v>145357</v>
      </c>
      <c r="AS202" s="23">
        <v>5.1624359510577476</v>
      </c>
      <c r="AT202" s="23">
        <v>5.1354602371869413</v>
      </c>
      <c r="AU202" s="22">
        <v>2.101</v>
      </c>
      <c r="AV202" s="22">
        <v>1.815768051</v>
      </c>
      <c r="AW202" s="22">
        <v>56</v>
      </c>
      <c r="AX202" s="22">
        <v>30.6</v>
      </c>
      <c r="AY202" s="22">
        <v>2</v>
      </c>
      <c r="AZ202" s="24">
        <v>108897</v>
      </c>
      <c r="BA202" s="24">
        <f t="shared" si="87"/>
        <v>5.0370159155556635</v>
      </c>
      <c r="BB202" s="24">
        <v>92603</v>
      </c>
      <c r="BC202" s="24">
        <f t="shared" si="88"/>
        <v>4.9666250564696357</v>
      </c>
      <c r="BD202" s="24">
        <v>16294</v>
      </c>
      <c r="BE202" s="23">
        <v>4122</v>
      </c>
      <c r="BF202" s="22">
        <f t="shared" si="91"/>
        <v>686</v>
      </c>
      <c r="BG202" s="23">
        <v>0.49890909090909091</v>
      </c>
      <c r="BH202" s="23">
        <v>2.8357767427781257E-2</v>
      </c>
      <c r="BI202" s="23">
        <v>2.0131329472998397E-2</v>
      </c>
      <c r="BJ202" s="23">
        <v>1.9487707181479425E-2</v>
      </c>
      <c r="BK202" s="23">
        <v>0.408638583249892</v>
      </c>
      <c r="BL202" s="23">
        <v>2750</v>
      </c>
      <c r="BM202" s="22">
        <v>15662</v>
      </c>
      <c r="BN202" s="22">
        <f t="shared" si="92"/>
        <v>596</v>
      </c>
      <c r="BO202" s="22">
        <v>4.1948472196314439</v>
      </c>
      <c r="BP202" s="22">
        <v>0.14382398045859848</v>
      </c>
      <c r="BQ202" s="22">
        <v>2.9251010755447782E-3</v>
      </c>
      <c r="BR202" s="22">
        <v>1.2021699145669015E-2</v>
      </c>
      <c r="BS202" s="22">
        <v>-15812</v>
      </c>
      <c r="BT202" s="22">
        <v>4.1989868056709332</v>
      </c>
      <c r="BU202" s="22">
        <v>0.10878045088987802</v>
      </c>
      <c r="BV202" s="23">
        <v>15025</v>
      </c>
      <c r="BW202" s="22">
        <v>57992</v>
      </c>
      <c r="BX202" s="22">
        <v>156</v>
      </c>
      <c r="BY202" s="22">
        <v>2.1931245983544616</v>
      </c>
      <c r="BZ202" s="25">
        <v>0.81627663290254981</v>
      </c>
      <c r="CA202" s="23">
        <v>2.77430650961079E-2</v>
      </c>
      <c r="CB202" s="23">
        <v>2.7743065096107902</v>
      </c>
      <c r="CC202" s="23">
        <v>0.44315444090415423</v>
      </c>
      <c r="CD202" s="23">
        <v>2.4490842135800685E-2</v>
      </c>
      <c r="CE202" s="23">
        <v>5.0662060808238797E-2</v>
      </c>
      <c r="CF202" s="23">
        <v>2.4285540556974339</v>
      </c>
      <c r="CG202" s="23">
        <f t="shared" si="89"/>
        <v>0.88729604143896534</v>
      </c>
      <c r="CH202" s="26">
        <v>22.5</v>
      </c>
      <c r="CI202" s="26">
        <v>11.56</v>
      </c>
      <c r="CJ202" s="26">
        <v>1.3521825181113625</v>
      </c>
      <c r="CK202" s="26">
        <v>1.0629578340845103</v>
      </c>
      <c r="CL202" s="26">
        <v>0.94636678200692037</v>
      </c>
      <c r="CM202" s="27">
        <v>18.34360153256705</v>
      </c>
      <c r="CN202" s="27">
        <v>0.37954130333231201</v>
      </c>
      <c r="CQ202" s="27">
        <v>77.833846153846167</v>
      </c>
      <c r="CR202" s="27">
        <v>0.14479088628430173</v>
      </c>
      <c r="CS202" s="27">
        <v>0.72605363984674265</v>
      </c>
      <c r="CT202" s="27">
        <v>0.84238461538461584</v>
      </c>
      <c r="CU202" s="27">
        <v>-0.13809722235342442</v>
      </c>
      <c r="CV202" s="27">
        <v>0.78180076628352502</v>
      </c>
      <c r="CW202" s="27">
        <v>1.8930960917710087</v>
      </c>
      <c r="CX202" s="36">
        <v>0.88</v>
      </c>
      <c r="CY202" s="28">
        <v>0.56000000000000005</v>
      </c>
      <c r="CZ202" s="29">
        <v>19.614636019999999</v>
      </c>
      <c r="DA202" s="27">
        <v>0.18685412683753744</v>
      </c>
      <c r="DB202" s="27">
        <v>2.3607257116750975</v>
      </c>
      <c r="DC202" s="27">
        <v>1.322681365714484</v>
      </c>
      <c r="DD202" s="27">
        <v>1</v>
      </c>
      <c r="DE202" s="27">
        <v>-0.1</v>
      </c>
      <c r="DF202" s="27">
        <v>96.7</v>
      </c>
      <c r="DG202" s="28">
        <v>4.5716134024592483</v>
      </c>
      <c r="DH202" s="27">
        <v>0.96782999999999997</v>
      </c>
      <c r="DI202" s="27">
        <v>4.5</v>
      </c>
      <c r="DJ202" s="27">
        <v>2.5</v>
      </c>
      <c r="DK202" s="27">
        <v>1.8</v>
      </c>
      <c r="DL202" s="27">
        <v>1.679984422560547E-2</v>
      </c>
      <c r="DM202" s="27">
        <v>0.6855</v>
      </c>
      <c r="DN202" s="28">
        <v>0.84760000000000002</v>
      </c>
      <c r="DO202" s="28">
        <v>0.14154882154882151</v>
      </c>
      <c r="DP202" s="28">
        <v>-9.5288372706876123E-2</v>
      </c>
      <c r="DQ202" s="27">
        <v>0.10279999999999989</v>
      </c>
      <c r="DR202" s="27">
        <v>2.77430650961079E-2</v>
      </c>
      <c r="DS202" s="27">
        <v>5.0662060808238797E-2</v>
      </c>
      <c r="DT202" s="27">
        <v>2.4490842135800685E-2</v>
      </c>
      <c r="DU202" s="30">
        <v>4.6191050000000002</v>
      </c>
      <c r="DV202">
        <v>-0.9</v>
      </c>
      <c r="DW202">
        <v>-0.7</v>
      </c>
      <c r="DX202">
        <v>96.2</v>
      </c>
      <c r="DY202">
        <v>92.4</v>
      </c>
      <c r="DZ202">
        <v>2.1</v>
      </c>
      <c r="EA202">
        <v>1.9</v>
      </c>
      <c r="EB202">
        <v>2.1588159999999998</v>
      </c>
    </row>
    <row r="203" spans="1:132" ht="18">
      <c r="A203" s="14" t="s">
        <v>167</v>
      </c>
      <c r="B203" s="14">
        <v>7</v>
      </c>
      <c r="C203" s="14" t="s">
        <v>137</v>
      </c>
      <c r="D203" s="14" t="s">
        <v>168</v>
      </c>
      <c r="E203" s="14" t="s">
        <v>143</v>
      </c>
      <c r="F203" s="15">
        <v>47871</v>
      </c>
      <c r="G203" s="15">
        <v>4.6800724997599055</v>
      </c>
      <c r="H203" s="15">
        <v>25083</v>
      </c>
      <c r="I203" s="15">
        <v>14856</v>
      </c>
      <c r="J203" s="16">
        <v>7932</v>
      </c>
      <c r="K203" s="16">
        <v>1</v>
      </c>
      <c r="L203" s="17">
        <v>0.28508387972772586</v>
      </c>
      <c r="M203" s="18">
        <v>153</v>
      </c>
      <c r="N203" s="18">
        <v>82</v>
      </c>
      <c r="O203" s="18">
        <v>0.92489370533923998</v>
      </c>
      <c r="P203" s="18">
        <v>3</v>
      </c>
      <c r="Q203" s="18">
        <f t="shared" si="90"/>
        <v>2.6666666666666665</v>
      </c>
      <c r="R203" s="18">
        <v>153</v>
      </c>
      <c r="S203" s="18">
        <v>5</v>
      </c>
      <c r="T203" s="19">
        <v>32659</v>
      </c>
      <c r="U203" s="19">
        <v>4.5140028827542693</v>
      </c>
      <c r="V203" s="20"/>
      <c r="W203" s="20"/>
      <c r="X203" s="20">
        <v>0</v>
      </c>
      <c r="Y203" s="20">
        <v>0.187708346</v>
      </c>
      <c r="Z203" s="20">
        <f t="shared" si="86"/>
        <v>-0.72651641709008297</v>
      </c>
      <c r="AA203" s="20">
        <v>0.17968299709999999</v>
      </c>
      <c r="AB203" s="18">
        <v>1247</v>
      </c>
      <c r="AC203" s="20"/>
      <c r="AE203" s="21"/>
      <c r="AF203" s="21"/>
      <c r="AG203" s="22">
        <v>1.7865756704125203E-2</v>
      </c>
      <c r="AH203" s="22">
        <v>3000</v>
      </c>
      <c r="AI203" s="22">
        <v>2.0782069110000001</v>
      </c>
      <c r="AJ203" s="23">
        <v>369928</v>
      </c>
      <c r="AK203" s="23">
        <f t="shared" si="68"/>
        <v>5.5681172044845608</v>
      </c>
      <c r="AL203" s="24">
        <v>0.28696576699999998</v>
      </c>
      <c r="AM203" s="22">
        <f>65729+64802</f>
        <v>130531</v>
      </c>
      <c r="AN203" s="22">
        <f t="shared" si="82"/>
        <v>0.7773450294487223</v>
      </c>
      <c r="AO203" s="23">
        <v>4.1192183326303949E-2</v>
      </c>
      <c r="AP203" s="33">
        <v>4.0435066999999998E-2</v>
      </c>
      <c r="AQ203" s="23">
        <v>0.60675816706345653</v>
      </c>
      <c r="AR203" s="23">
        <v>167919</v>
      </c>
      <c r="AS203" s="23">
        <v>5.2250998392488617</v>
      </c>
      <c r="AT203" s="23">
        <v>5.1624359510577476</v>
      </c>
      <c r="AU203" s="22">
        <v>2.1139999999999999</v>
      </c>
      <c r="AV203" s="22">
        <v>1.855675618</v>
      </c>
      <c r="AW203" s="22">
        <v>77.7</v>
      </c>
      <c r="AX203" s="22">
        <v>56</v>
      </c>
      <c r="AY203" s="22">
        <v>2</v>
      </c>
      <c r="AZ203" s="24">
        <v>113808</v>
      </c>
      <c r="BA203" s="24">
        <f t="shared" si="87"/>
        <v>5.0561727913537755</v>
      </c>
      <c r="BB203" s="24">
        <v>96612</v>
      </c>
      <c r="BC203" s="24">
        <f t="shared" si="88"/>
        <v>4.9850310726899432</v>
      </c>
      <c r="BD203" s="24">
        <v>17196</v>
      </c>
      <c r="BE203" s="23">
        <v>4688</v>
      </c>
      <c r="BF203" s="22">
        <f t="shared" si="91"/>
        <v>283</v>
      </c>
      <c r="BG203" s="23">
        <v>0.13731198447355653</v>
      </c>
      <c r="BH203" s="23">
        <v>2.7918222476312985E-2</v>
      </c>
      <c r="BI203" s="23">
        <v>2.8357767427781257E-2</v>
      </c>
      <c r="BJ203" s="23">
        <v>1.9487707181479425E-2</v>
      </c>
      <c r="BK203" s="23">
        <v>-1.5499984354821361E-2</v>
      </c>
      <c r="BL203" s="23">
        <v>4122</v>
      </c>
      <c r="BM203" s="22">
        <v>10799</v>
      </c>
      <c r="BN203" s="22">
        <f t="shared" si="92"/>
        <v>2431.5</v>
      </c>
      <c r="BO203" s="22">
        <v>4.0333835411731194</v>
      </c>
      <c r="BP203" s="22">
        <v>9.4887881344018002E-2</v>
      </c>
      <c r="BQ203" s="22">
        <v>2.4468049557290209E-2</v>
      </c>
      <c r="BR203" s="22">
        <v>2.9251010755447782E-3</v>
      </c>
      <c r="BS203" s="22">
        <v>-19280</v>
      </c>
      <c r="BT203" s="22">
        <v>4.2851070295668121</v>
      </c>
      <c r="BU203" s="22">
        <v>0.11481726308517798</v>
      </c>
      <c r="BV203" s="23">
        <v>11157</v>
      </c>
      <c r="BW203" s="22">
        <v>69380</v>
      </c>
      <c r="BX203" s="22">
        <v>250</v>
      </c>
      <c r="BY203" s="22">
        <v>2.3979400086720375</v>
      </c>
      <c r="BZ203" s="25">
        <v>0.60256410256410253</v>
      </c>
      <c r="CA203" s="23">
        <v>5.0662060808238797E-2</v>
      </c>
      <c r="CB203" s="23">
        <v>5.0662060808238794</v>
      </c>
      <c r="CC203" s="23">
        <v>0.70468285184700785</v>
      </c>
      <c r="CD203" s="23">
        <v>2.77430650961079E-2</v>
      </c>
      <c r="CE203" s="23">
        <v>3.802148779895468E-2</v>
      </c>
      <c r="CF203" s="23">
        <v>6.86070686070686</v>
      </c>
      <c r="CG203" s="23">
        <f t="shared" si="89"/>
        <v>1.9258104773488103</v>
      </c>
      <c r="CH203" s="26">
        <v>40</v>
      </c>
      <c r="CI203" s="26">
        <v>22.5</v>
      </c>
      <c r="CJ203" s="26">
        <v>1.6020599913279623</v>
      </c>
      <c r="CK203" s="26">
        <v>1.3521825181113625</v>
      </c>
      <c r="CL203" s="26">
        <v>0.77777777777777779</v>
      </c>
      <c r="CM203" s="27">
        <v>34.430804597701169</v>
      </c>
      <c r="CN203" s="27">
        <v>0.87699261437690179</v>
      </c>
      <c r="CO203" s="27">
        <v>14.00272</v>
      </c>
      <c r="CQ203" s="27">
        <v>141.16230769230771</v>
      </c>
      <c r="CR203" s="27">
        <v>0.81363654332700808</v>
      </c>
      <c r="CS203" s="27">
        <v>1.4151340996168575</v>
      </c>
      <c r="CT203" s="27">
        <v>0.72605363984674265</v>
      </c>
      <c r="CU203" s="27">
        <v>0.94907651715039654</v>
      </c>
      <c r="CV203" s="27">
        <v>1.549389312977099</v>
      </c>
      <c r="CW203" s="27">
        <v>2.1901605560639821</v>
      </c>
      <c r="CX203" s="36">
        <v>2.34</v>
      </c>
      <c r="CY203" s="28">
        <v>0.88</v>
      </c>
      <c r="CZ203" s="29">
        <v>33.709007630000002</v>
      </c>
      <c r="DA203" s="27">
        <v>0.71856401493398725</v>
      </c>
      <c r="DB203" s="27">
        <v>3.1430399491928545</v>
      </c>
      <c r="DC203" s="27">
        <v>2.3607257116750975</v>
      </c>
      <c r="DD203" s="27">
        <v>1</v>
      </c>
      <c r="DE203" s="27">
        <v>-0.6</v>
      </c>
      <c r="DF203" s="27">
        <v>97.5</v>
      </c>
      <c r="DG203" s="28">
        <v>4.5798523780038014</v>
      </c>
      <c r="DH203" s="27">
        <v>0.98065000000000002</v>
      </c>
      <c r="DI203" s="27">
        <v>4.4000000000000004</v>
      </c>
      <c r="DJ203" s="27">
        <v>3.1</v>
      </c>
      <c r="DK203" s="27">
        <v>2</v>
      </c>
      <c r="DL203" s="27">
        <v>4.1965997035105826E-2</v>
      </c>
      <c r="DM203" s="27">
        <v>0.71560000000000001</v>
      </c>
      <c r="DN203" s="28">
        <v>0.75849999999999995</v>
      </c>
      <c r="DO203" s="28">
        <v>-0.10512033978291654</v>
      </c>
      <c r="DP203" s="28">
        <v>4.3909555069292512E-2</v>
      </c>
      <c r="DQ203" s="27">
        <v>0.17789999999999995</v>
      </c>
      <c r="DR203" s="27">
        <v>5.0662060808238797E-2</v>
      </c>
      <c r="DS203" s="27">
        <v>3.802148779895468E-2</v>
      </c>
      <c r="DT203" s="27">
        <v>2.77430650961079E-2</v>
      </c>
      <c r="DU203" s="30">
        <v>5.7984980000000004</v>
      </c>
      <c r="DV203">
        <v>-1</v>
      </c>
      <c r="DW203">
        <v>0.7</v>
      </c>
      <c r="DX203">
        <v>98</v>
      </c>
      <c r="DY203">
        <v>95</v>
      </c>
      <c r="DZ203">
        <v>1.6</v>
      </c>
      <c r="EA203">
        <v>1.7</v>
      </c>
      <c r="EB203">
        <v>2.0603549999999999</v>
      </c>
    </row>
    <row r="204" spans="1:132" ht="18">
      <c r="A204" s="14" t="s">
        <v>167</v>
      </c>
      <c r="B204" s="14">
        <v>8</v>
      </c>
      <c r="C204" s="14" t="s">
        <v>137</v>
      </c>
      <c r="D204" s="14" t="s">
        <v>168</v>
      </c>
      <c r="E204" s="14" t="s">
        <v>143</v>
      </c>
      <c r="F204" s="15">
        <v>38651</v>
      </c>
      <c r="G204" s="15">
        <v>4.5871607347061856</v>
      </c>
      <c r="H204" s="15">
        <v>21995</v>
      </c>
      <c r="I204" s="15">
        <v>3685</v>
      </c>
      <c r="J204" s="16">
        <v>12971</v>
      </c>
      <c r="K204" s="16">
        <v>1</v>
      </c>
      <c r="L204" s="17">
        <v>0.21814785131336847</v>
      </c>
      <c r="M204" s="18">
        <v>153</v>
      </c>
      <c r="N204" s="18">
        <v>82</v>
      </c>
      <c r="O204" s="18">
        <v>0.92489370533923998</v>
      </c>
      <c r="P204" s="18">
        <v>3</v>
      </c>
      <c r="Q204" s="18">
        <f t="shared" si="90"/>
        <v>2.6666666666666665</v>
      </c>
      <c r="R204" s="18">
        <v>153</v>
      </c>
      <c r="S204" s="18">
        <v>5</v>
      </c>
      <c r="T204" s="19">
        <v>29984</v>
      </c>
      <c r="U204" s="19">
        <v>4.4768895692076844</v>
      </c>
      <c r="V204" s="20"/>
      <c r="W204" s="20"/>
      <c r="X204" s="20">
        <v>0</v>
      </c>
      <c r="Y204" s="20">
        <v>0.20286281480000001</v>
      </c>
      <c r="Z204" s="20">
        <f t="shared" si="86"/>
        <v>-0.69279755280490751</v>
      </c>
      <c r="AB204" s="20"/>
      <c r="AC204" s="20">
        <v>9708</v>
      </c>
      <c r="AE204" s="21"/>
      <c r="AF204" s="21"/>
      <c r="AG204" s="22">
        <v>1.69321247558952E-2</v>
      </c>
      <c r="AH204" s="22">
        <v>3000</v>
      </c>
      <c r="AI204" s="22">
        <v>0.79080951109999997</v>
      </c>
      <c r="AJ204" s="23">
        <v>368500</v>
      </c>
      <c r="AK204" s="23">
        <f t="shared" si="68"/>
        <v>5.5664374921950701</v>
      </c>
      <c r="AL204" s="24">
        <v>0.28505423699999999</v>
      </c>
      <c r="AM204" s="22">
        <f>70215+69534</f>
        <v>139749</v>
      </c>
      <c r="AN204" s="22">
        <f t="shared" si="82"/>
        <v>0.78874916750386614</v>
      </c>
      <c r="AO204" s="23">
        <v>8.6607660642474826E-3</v>
      </c>
      <c r="AP204" s="33">
        <v>1.4762178000000001E-2</v>
      </c>
      <c r="AQ204" s="23">
        <v>0.169150437676723</v>
      </c>
      <c r="AR204" s="23">
        <v>177178</v>
      </c>
      <c r="AS204" s="23">
        <v>5.2484097950241591</v>
      </c>
      <c r="AT204" s="23">
        <v>5.2250998392488617</v>
      </c>
      <c r="AU204" s="22">
        <v>2.3460000000000001</v>
      </c>
      <c r="AV204" s="22">
        <v>2.0731765960000001</v>
      </c>
      <c r="AW204" s="22">
        <v>29.6</v>
      </c>
      <c r="AX204" s="22">
        <v>77.7</v>
      </c>
      <c r="AY204" s="22">
        <v>1</v>
      </c>
      <c r="AZ204" s="24">
        <v>105187</v>
      </c>
      <c r="BA204" s="24">
        <f t="shared" si="87"/>
        <v>5.0219620689324289</v>
      </c>
      <c r="BB204" s="24">
        <v>91608</v>
      </c>
      <c r="BC204" s="24">
        <f t="shared" si="88"/>
        <v>4.9619334016607048</v>
      </c>
      <c r="BD204" s="24">
        <v>13579</v>
      </c>
      <c r="BE204" s="23">
        <v>911</v>
      </c>
      <c r="BF204" s="22">
        <f t="shared" si="91"/>
        <v>1888.5</v>
      </c>
      <c r="BG204" s="23">
        <v>-0.80567406143344711</v>
      </c>
      <c r="BH204" s="23">
        <v>5.1417218842068424E-3</v>
      </c>
      <c r="BI204" s="23">
        <v>2.7918222476312985E-2</v>
      </c>
      <c r="BJ204" s="23">
        <v>1.9487707181479425E-2</v>
      </c>
      <c r="BK204" s="23">
        <v>-0.81582918151149131</v>
      </c>
      <c r="BL204" s="23">
        <v>4688</v>
      </c>
      <c r="BM204" s="22">
        <v>12741</v>
      </c>
      <c r="BN204" s="22">
        <f t="shared" si="92"/>
        <v>971</v>
      </c>
      <c r="BO204" s="22">
        <v>4.1052035157103415</v>
      </c>
      <c r="BP204" s="22">
        <v>0.1211271354825216</v>
      </c>
      <c r="BQ204" s="22">
        <v>1.3119627069251783E-2</v>
      </c>
      <c r="BR204" s="22">
        <v>2.4468049557290209E-2</v>
      </c>
      <c r="BS204" s="22">
        <v>-9675</v>
      </c>
      <c r="BT204" s="22">
        <v>3.9856509736909489</v>
      </c>
      <c r="BU204" s="22">
        <v>5.4606102337762023E-2</v>
      </c>
      <c r="BV204" s="23">
        <v>4139</v>
      </c>
      <c r="BW204" s="22">
        <v>77599</v>
      </c>
      <c r="BX204" s="22">
        <v>77</v>
      </c>
      <c r="BY204" s="22">
        <v>1.8864907251724818</v>
      </c>
      <c r="BZ204" s="25">
        <v>-0.69199999999999995</v>
      </c>
      <c r="CA204" s="23">
        <v>3.802148779895468E-2</v>
      </c>
      <c r="CB204" s="23">
        <v>3.8021487798954681</v>
      </c>
      <c r="CC204" s="23">
        <v>0.58002910701217281</v>
      </c>
      <c r="CD204" s="23">
        <v>5.0662060808238797E-2</v>
      </c>
      <c r="CE204" s="23">
        <v>3.4239891893164551E-2</v>
      </c>
      <c r="CF204" s="23">
        <v>4.2103300649081623</v>
      </c>
      <c r="CG204" s="23">
        <f t="shared" si="89"/>
        <v>1.4375410448368693</v>
      </c>
      <c r="CH204" s="26">
        <v>21.68</v>
      </c>
      <c r="CI204" s="26">
        <v>40</v>
      </c>
      <c r="CJ204" s="26">
        <v>1.3360592778663494</v>
      </c>
      <c r="CK204" s="26">
        <v>1.6020599913279623</v>
      </c>
      <c r="CL204" s="26">
        <v>-0.45800000000000002</v>
      </c>
      <c r="CM204" s="27">
        <v>32.806781609195411</v>
      </c>
      <c r="CN204" s="27">
        <v>-4.7167732717294325E-2</v>
      </c>
      <c r="CO204" s="27">
        <v>14.6873913</v>
      </c>
      <c r="CP204" s="27">
        <v>4.8895593141903844E-2</v>
      </c>
      <c r="CQ204" s="27">
        <v>128.33115384615388</v>
      </c>
      <c r="CR204" s="27">
        <v>-9.0896458522922177E-2</v>
      </c>
      <c r="CS204" s="27">
        <v>1.3546743295019157</v>
      </c>
      <c r="CT204" s="27">
        <v>1.4151340996168575</v>
      </c>
      <c r="CU204" s="27">
        <v>-4.272370380397951E-2</v>
      </c>
      <c r="CV204" s="27">
        <v>1.5608045977011498</v>
      </c>
      <c r="CW204" s="27">
        <v>2.1933485357004661</v>
      </c>
      <c r="CX204" s="36">
        <v>1.03</v>
      </c>
      <c r="CY204" s="28">
        <v>2.34</v>
      </c>
      <c r="CZ204" s="29">
        <v>33.580881230000003</v>
      </c>
      <c r="DA204" s="27">
        <v>-3.8009543741646867E-3</v>
      </c>
      <c r="DB204" s="27">
        <v>1.4102002336892525</v>
      </c>
      <c r="DC204" s="27">
        <v>3.1430399491928545</v>
      </c>
      <c r="DD204" s="27">
        <v>1</v>
      </c>
      <c r="DE204" s="27">
        <v>2</v>
      </c>
      <c r="DF204" s="27">
        <v>99.3</v>
      </c>
      <c r="DG204" s="28">
        <v>4.598145571051127</v>
      </c>
      <c r="DH204" s="27">
        <v>0.99378999999999995</v>
      </c>
      <c r="DI204" s="27">
        <v>4.5</v>
      </c>
      <c r="DJ204" s="27">
        <v>1.4</v>
      </c>
      <c r="DK204" s="27">
        <v>2.6</v>
      </c>
      <c r="DL204" s="27">
        <v>2.4369778879479467E-2</v>
      </c>
      <c r="DM204" s="27">
        <v>0.69779999999999998</v>
      </c>
      <c r="DN204" s="28">
        <v>0.68400000000000005</v>
      </c>
      <c r="DO204" s="28">
        <v>-9.8220171390902972E-2</v>
      </c>
      <c r="DP204" s="28">
        <v>-2.487423141419793E-2</v>
      </c>
      <c r="DQ204" s="27">
        <v>0.13560000000000005</v>
      </c>
      <c r="DR204" s="27">
        <v>3.802148779895468E-2</v>
      </c>
      <c r="DS204" s="27">
        <v>3.4239891893164551E-2</v>
      </c>
      <c r="DT204" s="27">
        <v>5.0662060808238797E-2</v>
      </c>
      <c r="DU204" s="30">
        <v>9.2708490000000001</v>
      </c>
      <c r="DV204">
        <v>2.2000000000000002</v>
      </c>
      <c r="DW204">
        <v>2.6</v>
      </c>
      <c r="DX204">
        <v>98.8</v>
      </c>
      <c r="DY204">
        <v>96.9</v>
      </c>
      <c r="DZ204">
        <v>1.3</v>
      </c>
      <c r="EA204">
        <v>2.5</v>
      </c>
      <c r="EB204">
        <v>1.1868369999999999</v>
      </c>
    </row>
    <row r="205" spans="1:132" ht="18">
      <c r="A205" s="14" t="s">
        <v>167</v>
      </c>
      <c r="B205" s="14">
        <v>9</v>
      </c>
      <c r="C205" s="14" t="s">
        <v>137</v>
      </c>
      <c r="D205" s="14" t="s">
        <v>168</v>
      </c>
      <c r="E205" s="14" t="s">
        <v>143</v>
      </c>
      <c r="F205" s="15">
        <v>74418</v>
      </c>
      <c r="G205" s="15">
        <v>4.8716779940833188</v>
      </c>
      <c r="H205" s="15">
        <v>57015</v>
      </c>
      <c r="I205" s="15">
        <v>2007</v>
      </c>
      <c r="J205" s="16">
        <v>15396</v>
      </c>
      <c r="K205" s="16">
        <v>1</v>
      </c>
      <c r="L205" s="17">
        <v>0.37322273098855024</v>
      </c>
      <c r="M205" s="18">
        <v>153</v>
      </c>
      <c r="N205" s="18">
        <v>82</v>
      </c>
      <c r="O205" s="18">
        <v>0.92489370533923998</v>
      </c>
      <c r="P205" s="18">
        <v>3</v>
      </c>
      <c r="Q205" s="18">
        <f t="shared" si="90"/>
        <v>2.6666666666666665</v>
      </c>
      <c r="R205" s="18">
        <v>153</v>
      </c>
      <c r="S205" s="18">
        <v>5</v>
      </c>
      <c r="T205" s="19">
        <v>43070</v>
      </c>
      <c r="U205" s="19">
        <v>4.6341748717625997</v>
      </c>
      <c r="V205" s="20">
        <v>109222</v>
      </c>
      <c r="W205" s="20">
        <v>5.0383101247815727</v>
      </c>
      <c r="X205" s="20">
        <v>0.27347820752614671</v>
      </c>
      <c r="Y205" s="20">
        <v>0.22252278740000001</v>
      </c>
      <c r="Z205" s="20">
        <f t="shared" si="86"/>
        <v>-0.65262550856917056</v>
      </c>
      <c r="AB205" s="20"/>
      <c r="AC205" s="20">
        <v>11352</v>
      </c>
      <c r="AE205" s="21"/>
      <c r="AF205" s="21"/>
      <c r="AG205" s="22">
        <v>1.5547185708625679E-2</v>
      </c>
      <c r="AH205" s="22">
        <v>3100</v>
      </c>
      <c r="AI205" s="22">
        <v>1.065445886</v>
      </c>
      <c r="AJ205" s="23">
        <v>399381</v>
      </c>
      <c r="AK205" s="23">
        <f t="shared" si="68"/>
        <v>5.6013874000653994</v>
      </c>
      <c r="AL205" s="24">
        <v>0.33946798</v>
      </c>
      <c r="AM205" s="22">
        <f>73781+76900</f>
        <v>150681</v>
      </c>
      <c r="AN205" s="22">
        <f t="shared" si="82"/>
        <v>0.75569854508433099</v>
      </c>
      <c r="AO205" s="23">
        <v>5.6953694581280787E-2</v>
      </c>
      <c r="AP205" s="33">
        <v>5.6655500000000005E-4</v>
      </c>
      <c r="AQ205" s="23">
        <v>-1.2467579233344663</v>
      </c>
      <c r="AR205" s="23">
        <v>199393</v>
      </c>
      <c r="AS205" s="23">
        <v>5.2997099076630203</v>
      </c>
      <c r="AT205" s="23">
        <v>5.2484097950241591</v>
      </c>
      <c r="AU205" s="22">
        <v>1.8380000000000001</v>
      </c>
      <c r="AV205" s="22">
        <v>1.580945147</v>
      </c>
      <c r="AW205" s="22">
        <v>51.9</v>
      </c>
      <c r="AX205" s="22">
        <v>29.6</v>
      </c>
      <c r="AY205" s="22">
        <v>2</v>
      </c>
      <c r="AZ205" s="24">
        <v>126875</v>
      </c>
      <c r="BA205" s="24">
        <f t="shared" si="87"/>
        <v>5.1033760552572884</v>
      </c>
      <c r="BB205" s="24">
        <v>105431</v>
      </c>
      <c r="BC205" s="24">
        <f t="shared" si="88"/>
        <v>5.0229683257669944</v>
      </c>
      <c r="BD205" s="24">
        <v>21444</v>
      </c>
      <c r="BE205" s="23">
        <v>7226</v>
      </c>
      <c r="BF205" s="22">
        <f t="shared" si="91"/>
        <v>3157.5</v>
      </c>
      <c r="BG205" s="23">
        <v>6.9319429198682769</v>
      </c>
      <c r="BH205" s="23">
        <v>3.6239988364686823E-2</v>
      </c>
      <c r="BI205" s="23">
        <v>5.1417218842068424E-3</v>
      </c>
      <c r="BJ205" s="23">
        <v>1.9487707181479425E-2</v>
      </c>
      <c r="BK205" s="23">
        <v>6.0482202617766001</v>
      </c>
      <c r="BL205" s="23">
        <v>911</v>
      </c>
      <c r="BM205" s="22">
        <v>11455</v>
      </c>
      <c r="BN205" s="22">
        <f t="shared" si="92"/>
        <v>643</v>
      </c>
      <c r="BO205" s="22">
        <v>4.0589950935254162</v>
      </c>
      <c r="BP205" s="22">
        <v>9.0285714285714289E-2</v>
      </c>
      <c r="BQ205" s="22">
        <v>1.5420710598403697E-2</v>
      </c>
      <c r="BR205" s="22">
        <v>1.3119627069251783E-2</v>
      </c>
      <c r="BS205" s="22">
        <v>-11048</v>
      </c>
      <c r="BT205" s="22">
        <v>4.0432836655705753</v>
      </c>
      <c r="BU205" s="22">
        <v>5.5408163777063389E-2</v>
      </c>
      <c r="BV205" s="23">
        <v>11900</v>
      </c>
      <c r="BW205" s="22">
        <v>77011</v>
      </c>
      <c r="BX205" s="22">
        <v>105.9</v>
      </c>
      <c r="BY205" s="22">
        <v>2.024895960107485</v>
      </c>
      <c r="BZ205" s="25">
        <v>0.37532467532467539</v>
      </c>
      <c r="CA205" s="23">
        <v>3.4239891893164551E-2</v>
      </c>
      <c r="CB205" s="23">
        <v>3.4239891893164551</v>
      </c>
      <c r="CC205" s="23">
        <v>0.53453238479377774</v>
      </c>
      <c r="CD205" s="23">
        <v>3.802148779895468E-2</v>
      </c>
      <c r="CE205" s="23">
        <v>2.4180879115385762E-2</v>
      </c>
      <c r="CF205" s="23">
        <v>1.9514578921648476</v>
      </c>
      <c r="CG205" s="23">
        <f t="shared" si="89"/>
        <v>0.66857673024194397</v>
      </c>
      <c r="CH205" s="26">
        <v>17.75</v>
      </c>
      <c r="CI205" s="26">
        <v>21.68</v>
      </c>
      <c r="CJ205" s="26">
        <v>1.249198357391113</v>
      </c>
      <c r="CK205" s="26">
        <v>1.3360592778663494</v>
      </c>
      <c r="CL205" s="26">
        <v>-0.18127306273062729</v>
      </c>
      <c r="CM205" s="27">
        <v>23.674061302682002</v>
      </c>
      <c r="CN205" s="27">
        <v>-0.27837903806917774</v>
      </c>
      <c r="CO205" s="27">
        <v>13.17284585</v>
      </c>
      <c r="CP205" s="27">
        <v>-0.10311875125162628</v>
      </c>
      <c r="CQ205" s="27">
        <v>93.814615384615436</v>
      </c>
      <c r="CR205" s="27">
        <v>-0.26896460779054171</v>
      </c>
      <c r="CS205" s="27">
        <v>1.0575095785440605</v>
      </c>
      <c r="CT205" s="27">
        <v>1.3546743295019157</v>
      </c>
      <c r="CU205" s="27">
        <v>-0.21936250247475808</v>
      </c>
      <c r="CV205" s="27">
        <v>1.2699233716475098</v>
      </c>
      <c r="CW205" s="27">
        <v>2.1037775160152683</v>
      </c>
      <c r="CX205" s="36">
        <v>0.92</v>
      </c>
      <c r="CY205" s="28">
        <v>1.03</v>
      </c>
      <c r="CZ205" s="29">
        <v>26.404674329999999</v>
      </c>
      <c r="DA205" s="27">
        <v>-0.21369918349816944</v>
      </c>
      <c r="DB205" s="27">
        <v>3.3676575479931978</v>
      </c>
      <c r="DC205" s="27">
        <v>1.4102002336892525</v>
      </c>
      <c r="DD205" s="27">
        <v>1</v>
      </c>
      <c r="DE205" s="27">
        <v>1.9</v>
      </c>
      <c r="DF205" s="27">
        <v>100</v>
      </c>
      <c r="DG205" s="28">
        <v>4.6051701859880918</v>
      </c>
      <c r="DH205" s="27">
        <v>1</v>
      </c>
      <c r="DI205" s="27">
        <v>4.3</v>
      </c>
      <c r="DJ205" s="27">
        <v>2</v>
      </c>
      <c r="DK205" s="27">
        <v>2.5</v>
      </c>
      <c r="DL205" s="27">
        <v>2.4833477735949187E-2</v>
      </c>
      <c r="DM205" s="27">
        <v>0.74709999999999999</v>
      </c>
      <c r="DN205" s="28">
        <v>0.71719999999999995</v>
      </c>
      <c r="DO205" s="28">
        <v>4.8538011695906276E-2</v>
      </c>
      <c r="DP205" s="28">
        <v>7.0650616222413323E-2</v>
      </c>
      <c r="DQ205" s="27">
        <v>0.14990000000000003</v>
      </c>
      <c r="DR205" s="27">
        <v>3.4239891893164551E-2</v>
      </c>
      <c r="DS205" s="27">
        <v>2.4180879115385762E-2</v>
      </c>
      <c r="DT205" s="27">
        <v>3.802148779895468E-2</v>
      </c>
      <c r="DU205" s="30">
        <v>9.6228090000000002</v>
      </c>
      <c r="DV205">
        <v>2.7</v>
      </c>
      <c r="DW205">
        <v>2.9</v>
      </c>
      <c r="DX205">
        <v>100</v>
      </c>
      <c r="DY205">
        <v>100</v>
      </c>
      <c r="DZ205">
        <v>0.2</v>
      </c>
      <c r="EA205">
        <v>2</v>
      </c>
      <c r="EB205">
        <v>1.2855829999999999</v>
      </c>
    </row>
    <row r="206" spans="1:132" ht="18">
      <c r="A206" s="14" t="s">
        <v>167</v>
      </c>
      <c r="B206" s="14">
        <v>10</v>
      </c>
      <c r="C206" s="14" t="s">
        <v>137</v>
      </c>
      <c r="D206" s="14" t="s">
        <v>168</v>
      </c>
      <c r="E206" s="14" t="s">
        <v>143</v>
      </c>
      <c r="F206" s="15">
        <v>95841</v>
      </c>
      <c r="G206" s="15">
        <v>4.9815513364748707</v>
      </c>
      <c r="H206" s="15">
        <v>80293</v>
      </c>
      <c r="I206" s="15">
        <v>987</v>
      </c>
      <c r="J206" s="16">
        <v>14561</v>
      </c>
      <c r="K206" s="16">
        <v>1</v>
      </c>
      <c r="L206" s="17">
        <v>0.37767024341034561</v>
      </c>
      <c r="M206" s="18">
        <v>153</v>
      </c>
      <c r="N206" s="18">
        <v>82</v>
      </c>
      <c r="O206" s="18">
        <v>0.92489370533923998</v>
      </c>
      <c r="P206" s="18">
        <v>3</v>
      </c>
      <c r="Q206" s="18">
        <f t="shared" si="90"/>
        <v>2.6666666666666665</v>
      </c>
      <c r="R206" s="18">
        <v>153</v>
      </c>
      <c r="S206" s="18">
        <v>5</v>
      </c>
      <c r="T206" s="19">
        <v>55446</v>
      </c>
      <c r="U206" s="19">
        <v>4.7438702206278647</v>
      </c>
      <c r="V206" s="20">
        <v>123926</v>
      </c>
      <c r="W206" s="20">
        <v>5.0931624320575573</v>
      </c>
      <c r="X206" s="20">
        <v>0.24688618125891512</v>
      </c>
      <c r="Y206" s="20">
        <v>0.19951279960000001</v>
      </c>
      <c r="Z206" s="20">
        <f t="shared" si="86"/>
        <v>-0.70002923723369159</v>
      </c>
      <c r="AB206" s="20"/>
      <c r="AC206" s="20">
        <v>14169</v>
      </c>
      <c r="AE206" s="21"/>
      <c r="AF206" s="21"/>
      <c r="AG206" s="22">
        <v>1.2609893249372461E-2</v>
      </c>
      <c r="AH206" s="22">
        <v>3200</v>
      </c>
      <c r="AI206" s="22">
        <v>0.79395144740000001</v>
      </c>
      <c r="AJ206" s="23">
        <v>501956</v>
      </c>
      <c r="AK206" s="23">
        <f t="shared" si="68"/>
        <v>5.7006656498249058</v>
      </c>
      <c r="AL206" s="24">
        <v>0.34797943999999997</v>
      </c>
      <c r="AM206" s="22">
        <f>89179+101237</f>
        <v>190416</v>
      </c>
      <c r="AN206" s="22">
        <f t="shared" si="82"/>
        <v>0.75035169780390831</v>
      </c>
      <c r="AO206" s="23">
        <v>9.9154621964766501E-2</v>
      </c>
      <c r="AP206" s="33">
        <v>2.2544279E-2</v>
      </c>
      <c r="AQ206" s="23">
        <v>0.35303635047299414</v>
      </c>
      <c r="AR206" s="23">
        <v>253769</v>
      </c>
      <c r="AS206" s="23">
        <v>5.4044385683054852</v>
      </c>
      <c r="AT206" s="23">
        <v>5.2997099076630203</v>
      </c>
      <c r="AU206" s="22">
        <v>1.851</v>
      </c>
      <c r="AV206" s="22">
        <v>1.5936957410000001</v>
      </c>
      <c r="AW206" s="22">
        <v>50.3</v>
      </c>
      <c r="AX206" s="22">
        <v>51.9</v>
      </c>
      <c r="AY206" s="22">
        <v>2</v>
      </c>
      <c r="AZ206" s="24">
        <v>159337</v>
      </c>
      <c r="BA206" s="24">
        <f t="shared" si="87"/>
        <v>5.2023166360019406</v>
      </c>
      <c r="BB206" s="24">
        <v>131371</v>
      </c>
      <c r="BC206" s="24">
        <f t="shared" si="88"/>
        <v>5.1184995057870184</v>
      </c>
      <c r="BD206" s="24">
        <v>27966</v>
      </c>
      <c r="BE206" s="23">
        <v>15799</v>
      </c>
      <c r="BF206" s="22">
        <f t="shared" si="91"/>
        <v>4286.5</v>
      </c>
      <c r="BG206" s="23">
        <v>1.1864101854414615</v>
      </c>
      <c r="BH206" s="23">
        <v>6.2257407327136097E-2</v>
      </c>
      <c r="BI206" s="23">
        <v>3.6239988364686823E-2</v>
      </c>
      <c r="BJ206" s="23">
        <v>1.9487707181479425E-2</v>
      </c>
      <c r="BK206" s="23">
        <v>0.71792017979236755</v>
      </c>
      <c r="BL206" s="23">
        <v>7226</v>
      </c>
      <c r="BM206" s="22">
        <v>8500</v>
      </c>
      <c r="BN206" s="22">
        <f t="shared" si="92"/>
        <v>1477.5</v>
      </c>
      <c r="BO206" s="22">
        <v>3.9294189257142929</v>
      </c>
      <c r="BP206" s="22">
        <v>5.3346052705900072E-2</v>
      </c>
      <c r="BQ206" s="22">
        <v>1.8469830789907066E-2</v>
      </c>
      <c r="BR206" s="22">
        <v>1.5420710598403697E-2</v>
      </c>
      <c r="BS206" s="22">
        <v>-18631</v>
      </c>
      <c r="BT206" s="22">
        <v>4.2702361658370123</v>
      </c>
      <c r="BU206" s="22">
        <v>7.3417162852830731E-2</v>
      </c>
      <c r="BV206" s="23">
        <v>10315</v>
      </c>
      <c r="BW206" s="22">
        <v>100967</v>
      </c>
      <c r="BX206" s="22">
        <v>103.65</v>
      </c>
      <c r="BY206" s="22">
        <v>2.0155693064298799</v>
      </c>
      <c r="BZ206" s="25">
        <v>-2.1246458923512748E-2</v>
      </c>
      <c r="CA206" s="23">
        <v>2.4180879115385762E-2</v>
      </c>
      <c r="CB206" s="23">
        <v>2.4180879115385761</v>
      </c>
      <c r="CC206" s="23">
        <v>0.38347208593834597</v>
      </c>
      <c r="CD206" s="23">
        <v>3.4239891893164551E-2</v>
      </c>
      <c r="CE206" s="23">
        <v>2.0079372103467861E-2</v>
      </c>
      <c r="CF206" s="23">
        <v>1.6854887674559809</v>
      </c>
      <c r="CG206" s="23">
        <f t="shared" si="89"/>
        <v>0.522055591449055</v>
      </c>
      <c r="CH206" s="26">
        <v>23.4</v>
      </c>
      <c r="CI206" s="26">
        <v>17.75</v>
      </c>
      <c r="CJ206" s="26">
        <v>1.3692158574101427</v>
      </c>
      <c r="CK206" s="26">
        <v>1.249198357391113</v>
      </c>
      <c r="CL206" s="26">
        <v>0.31830985915492949</v>
      </c>
      <c r="CM206" s="27">
        <v>25.275999999999993</v>
      </c>
      <c r="CN206" s="27">
        <v>6.7666408261623831E-2</v>
      </c>
      <c r="CO206" s="27">
        <v>14.39393443</v>
      </c>
      <c r="CP206" s="27">
        <v>9.2697401450272041E-2</v>
      </c>
      <c r="CQ206" s="27">
        <v>94.493822393822356</v>
      </c>
      <c r="CR206" s="27">
        <v>7.2398848134946573E-3</v>
      </c>
      <c r="CS206" s="27">
        <v>1.0720384615384604</v>
      </c>
      <c r="CT206" s="27">
        <v>1.0575095785440605</v>
      </c>
      <c r="CU206" s="27">
        <v>1.37387720065881E-2</v>
      </c>
      <c r="CV206" s="27">
        <v>1.268846153846154</v>
      </c>
      <c r="CW206" s="27">
        <v>2.1034089675745258</v>
      </c>
      <c r="CX206" s="36">
        <v>0.92</v>
      </c>
      <c r="CY206" s="28">
        <v>0.92</v>
      </c>
      <c r="CZ206" s="29">
        <v>29.99596154</v>
      </c>
      <c r="DA206" s="27">
        <v>0.13600952487112158</v>
      </c>
      <c r="DB206" s="27">
        <v>1.9709466682529033</v>
      </c>
      <c r="DC206" s="27">
        <v>3.3676575479931978</v>
      </c>
      <c r="DD206" s="27">
        <v>1</v>
      </c>
      <c r="DE206" s="27">
        <v>1.2</v>
      </c>
      <c r="DF206" s="27">
        <v>101.1</v>
      </c>
      <c r="DG206" s="28">
        <v>4.6161101260264257</v>
      </c>
      <c r="DH206" s="27">
        <v>1.0118</v>
      </c>
      <c r="DI206" s="27">
        <v>4.3</v>
      </c>
      <c r="DJ206" s="27">
        <v>1.5</v>
      </c>
      <c r="DK206" s="27">
        <v>2.7</v>
      </c>
      <c r="DL206" s="27">
        <v>1.6688062333233E-2</v>
      </c>
      <c r="DM206" s="27">
        <v>0.77139999999999997</v>
      </c>
      <c r="DN206" s="28">
        <v>0.69699999999999995</v>
      </c>
      <c r="DO206" s="28">
        <v>-2.8165086447295033E-2</v>
      </c>
      <c r="DP206" s="28">
        <v>3.2525766296345855E-2</v>
      </c>
      <c r="DQ206" s="27">
        <v>0.10270000000000001</v>
      </c>
      <c r="DR206" s="27">
        <v>2.4180879115385762E-2</v>
      </c>
      <c r="DS206" s="27">
        <v>2.0079372103467861E-2</v>
      </c>
      <c r="DT206" s="27">
        <v>3.4239891893164551E-2</v>
      </c>
      <c r="DU206" s="30">
        <v>8.9420310000000001</v>
      </c>
      <c r="DV206">
        <v>2.2000000000000002</v>
      </c>
      <c r="DW206">
        <v>2.4</v>
      </c>
      <c r="DX206">
        <v>102.1</v>
      </c>
      <c r="DY206">
        <v>102.1</v>
      </c>
      <c r="DZ206">
        <v>0.9</v>
      </c>
      <c r="EA206">
        <v>0.7</v>
      </c>
      <c r="EB206">
        <v>1.494866</v>
      </c>
    </row>
    <row r="207" spans="1:132" ht="18">
      <c r="A207" s="14" t="s">
        <v>167</v>
      </c>
      <c r="B207" s="14">
        <v>11</v>
      </c>
      <c r="C207" s="14" t="s">
        <v>137</v>
      </c>
      <c r="D207" s="14" t="s">
        <v>168</v>
      </c>
      <c r="E207" s="14" t="s">
        <v>143</v>
      </c>
      <c r="F207" s="15">
        <v>120135</v>
      </c>
      <c r="G207" s="15">
        <v>5.0796695527187357</v>
      </c>
      <c r="H207" s="15">
        <v>89687</v>
      </c>
      <c r="I207" s="15">
        <v>13270</v>
      </c>
      <c r="J207" s="16">
        <v>17178</v>
      </c>
      <c r="K207" s="16">
        <v>1</v>
      </c>
      <c r="L207" s="17">
        <v>0.38797780677164745</v>
      </c>
      <c r="M207" s="18">
        <v>153</v>
      </c>
      <c r="N207" s="18">
        <v>82</v>
      </c>
      <c r="O207" s="18">
        <v>0.92489370533923998</v>
      </c>
      <c r="P207" s="18">
        <v>3</v>
      </c>
      <c r="Q207" s="18">
        <f t="shared" si="90"/>
        <v>2.6666666666666665</v>
      </c>
      <c r="R207" s="18">
        <v>153</v>
      </c>
      <c r="S207" s="18">
        <v>5</v>
      </c>
      <c r="T207" s="19">
        <v>77293</v>
      </c>
      <c r="U207" s="19">
        <v>4.8881401640473037</v>
      </c>
      <c r="V207" s="20">
        <v>139336</v>
      </c>
      <c r="W207" s="20">
        <v>5.1440633388319474</v>
      </c>
      <c r="X207" s="20">
        <v>0.25344739460458415</v>
      </c>
      <c r="Y207" s="20">
        <v>0.1334817304</v>
      </c>
      <c r="Z207" s="20">
        <f t="shared" si="86"/>
        <v>-0.87457817197304066</v>
      </c>
      <c r="AB207" s="20"/>
      <c r="AC207" s="20">
        <v>15891</v>
      </c>
      <c r="AE207" s="21"/>
      <c r="AF207" s="21"/>
      <c r="AG207" s="22">
        <v>1.2272157703685522E-2</v>
      </c>
      <c r="AH207" s="22">
        <v>3800</v>
      </c>
      <c r="AI207" s="22">
        <v>0.9446990529</v>
      </c>
      <c r="AJ207" s="23">
        <v>549763</v>
      </c>
      <c r="AK207" s="23">
        <f t="shared" si="68"/>
        <v>5.7401755077217995</v>
      </c>
      <c r="AL207" s="24">
        <v>0.40115530700000002</v>
      </c>
      <c r="AM207" s="22">
        <f>122306+105513</f>
        <v>227819</v>
      </c>
      <c r="AN207" s="22">
        <f t="shared" si="82"/>
        <v>0.73574491997261371</v>
      </c>
      <c r="AO207" s="23">
        <v>0.11357927297639561</v>
      </c>
      <c r="AP207" s="33">
        <v>1.6723691999999998E-2</v>
      </c>
      <c r="AQ207" s="23">
        <v>0.22333216055667346</v>
      </c>
      <c r="AR207" s="23">
        <v>309644</v>
      </c>
      <c r="AS207" s="23">
        <v>5.4908626690633771</v>
      </c>
      <c r="AT207" s="23">
        <v>5.4044385683054852</v>
      </c>
      <c r="AU207" s="22">
        <v>1.732</v>
      </c>
      <c r="AV207" s="22">
        <v>1.521356554</v>
      </c>
      <c r="AW207" s="22">
        <v>77.3</v>
      </c>
      <c r="AX207" s="22">
        <v>50.3</v>
      </c>
      <c r="AY207" s="22">
        <v>2</v>
      </c>
      <c r="AZ207" s="24">
        <v>192676</v>
      </c>
      <c r="BA207" s="24">
        <f t="shared" si="87"/>
        <v>5.2848276216783132</v>
      </c>
      <c r="BB207" s="24">
        <v>157718</v>
      </c>
      <c r="BC207" s="24">
        <f t="shared" si="88"/>
        <v>5.1978812612082423</v>
      </c>
      <c r="BD207" s="24">
        <v>34958</v>
      </c>
      <c r="BE207" s="23">
        <v>21884</v>
      </c>
      <c r="BF207" s="22">
        <f t="shared" si="91"/>
        <v>3042.5</v>
      </c>
      <c r="BG207" s="23">
        <v>0.38515095892145074</v>
      </c>
      <c r="BH207" s="23">
        <v>7.0674710312487884E-2</v>
      </c>
      <c r="BI207" s="23">
        <v>6.2257407327136097E-2</v>
      </c>
      <c r="BJ207" s="23">
        <v>1.9487707181479425E-2</v>
      </c>
      <c r="BK207" s="23">
        <v>0.1352016305645761</v>
      </c>
      <c r="BL207" s="23">
        <v>15799</v>
      </c>
      <c r="BM207" s="22">
        <v>7209</v>
      </c>
      <c r="BN207" s="22">
        <f t="shared" si="92"/>
        <v>645.5</v>
      </c>
      <c r="BO207" s="22">
        <v>3.8578750255235623</v>
      </c>
      <c r="BP207" s="22">
        <v>3.7415142519047519E-2</v>
      </c>
      <c r="BQ207" s="22">
        <v>7.9654550934262804E-3</v>
      </c>
      <c r="BR207" s="22">
        <v>1.8469830789907066E-2</v>
      </c>
      <c r="BS207" s="22">
        <v>-19482</v>
      </c>
      <c r="BT207" s="22">
        <v>4.2896335390096452</v>
      </c>
      <c r="BU207" s="22">
        <v>6.2917414837684565E-2</v>
      </c>
      <c r="BV207" s="23">
        <v>5770</v>
      </c>
      <c r="BW207" s="22">
        <v>124485</v>
      </c>
      <c r="BX207" s="22">
        <v>162.75</v>
      </c>
      <c r="BY207" s="22">
        <v>2.2115209972402297</v>
      </c>
      <c r="BZ207" s="25">
        <v>0.5701881331403762</v>
      </c>
      <c r="CA207" s="23">
        <v>2.0079372103467861E-2</v>
      </c>
      <c r="CB207" s="23">
        <v>2.0079372103467863</v>
      </c>
      <c r="CC207" s="23">
        <v>0.30275012798181106</v>
      </c>
      <c r="CD207" s="23">
        <v>2.4180879115385762E-2</v>
      </c>
      <c r="CE207" s="23">
        <v>1.50675227484701E-2</v>
      </c>
      <c r="CF207" s="23">
        <v>1.5855899419729205</v>
      </c>
      <c r="CG207" s="23">
        <f t="shared" si="89"/>
        <v>0.46095654121632834</v>
      </c>
      <c r="CH207" s="26">
        <v>18.02</v>
      </c>
      <c r="CI207" s="26">
        <v>23.4</v>
      </c>
      <c r="CJ207" s="26">
        <v>1.2557547866430441</v>
      </c>
      <c r="CK207" s="26">
        <v>1.3692158574101427</v>
      </c>
      <c r="CL207" s="26">
        <v>-0.22991452991452987</v>
      </c>
      <c r="CM207" s="27">
        <v>18.608429118773955</v>
      </c>
      <c r="CN207" s="27">
        <v>-0.26379058716672099</v>
      </c>
      <c r="CO207" s="27">
        <v>10.24478261</v>
      </c>
      <c r="CP207" s="27">
        <v>-0.288256962693417</v>
      </c>
      <c r="CQ207" s="27">
        <v>71.254230769230816</v>
      </c>
      <c r="CR207" s="27">
        <v>-0.24593768180670883</v>
      </c>
      <c r="CS207" s="27">
        <v>0.83494252873563157</v>
      </c>
      <c r="CT207" s="27">
        <v>1.0720384615384604</v>
      </c>
      <c r="CU207" s="27">
        <v>-0.22116364413136569</v>
      </c>
      <c r="CV207" s="27">
        <v>0.95088122605364045</v>
      </c>
      <c r="CW207" s="27">
        <v>1.9781262728880398</v>
      </c>
      <c r="CX207" s="36">
        <v>0.54</v>
      </c>
      <c r="CY207" s="28">
        <v>0.92</v>
      </c>
      <c r="CZ207" s="29">
        <v>24.56237548</v>
      </c>
      <c r="DA207" s="27">
        <v>-0.18114392008251654</v>
      </c>
      <c r="DB207" s="27">
        <v>1.7682050254071211</v>
      </c>
      <c r="DC207" s="27">
        <v>1.9709466682529033</v>
      </c>
      <c r="DD207" s="27">
        <v>1</v>
      </c>
      <c r="DE207" s="27">
        <v>0.9</v>
      </c>
      <c r="DF207" s="27">
        <v>102.7</v>
      </c>
      <c r="DG207" s="28">
        <v>4.6318121169345128</v>
      </c>
      <c r="DH207" s="27">
        <v>1.0250900000000001</v>
      </c>
      <c r="DI207" s="27">
        <v>4.3</v>
      </c>
      <c r="DJ207" s="27">
        <v>0</v>
      </c>
      <c r="DK207" s="27">
        <v>1.9</v>
      </c>
      <c r="DL207" s="27">
        <v>1.6829215601661535E-2</v>
      </c>
      <c r="DM207" s="27">
        <v>0.75800000000000001</v>
      </c>
      <c r="DN207" s="28">
        <v>0.74839999999999995</v>
      </c>
      <c r="DO207" s="28">
        <v>7.3744619799139169E-2</v>
      </c>
      <c r="DP207" s="28">
        <v>-1.7371013741249636E-2</v>
      </c>
      <c r="DQ207" s="27">
        <v>8.4699999999999998E-2</v>
      </c>
      <c r="DR207" s="27">
        <v>2.0079372103467861E-2</v>
      </c>
      <c r="DS207" s="27">
        <v>1.50675227484701E-2</v>
      </c>
      <c r="DT207" s="27">
        <v>2.4180879115385762E-2</v>
      </c>
      <c r="DU207" s="30">
        <v>8.0652849999999994</v>
      </c>
      <c r="DV207">
        <v>0.9</v>
      </c>
      <c r="DW207">
        <v>1.4</v>
      </c>
      <c r="DX207">
        <v>103.9</v>
      </c>
      <c r="DY207">
        <v>103.8</v>
      </c>
      <c r="DZ207">
        <v>0.1</v>
      </c>
      <c r="EA207">
        <v>0</v>
      </c>
      <c r="EB207">
        <v>1.826854</v>
      </c>
    </row>
    <row r="208" spans="1:132" ht="18">
      <c r="A208" s="14" t="s">
        <v>167</v>
      </c>
      <c r="B208" s="14">
        <v>12</v>
      </c>
      <c r="C208" s="14" t="s">
        <v>137</v>
      </c>
      <c r="D208" s="14" t="s">
        <v>168</v>
      </c>
      <c r="E208" s="14" t="s">
        <v>143</v>
      </c>
      <c r="F208" s="15">
        <v>104274</v>
      </c>
      <c r="G208" s="15">
        <v>5.0181760336023631</v>
      </c>
      <c r="H208" s="15">
        <v>72443</v>
      </c>
      <c r="I208" s="15">
        <v>10407</v>
      </c>
      <c r="J208" s="16">
        <v>21424</v>
      </c>
      <c r="K208" s="16">
        <v>1</v>
      </c>
      <c r="L208" s="17">
        <v>0.32150289979743041</v>
      </c>
      <c r="M208" s="18">
        <v>153</v>
      </c>
      <c r="N208" s="18">
        <v>82</v>
      </c>
      <c r="O208" s="18">
        <v>0.92489370533923998</v>
      </c>
      <c r="P208" s="18">
        <v>3</v>
      </c>
      <c r="Q208" s="18">
        <f t="shared" si="90"/>
        <v>2.6666666666666665</v>
      </c>
      <c r="R208" s="18">
        <v>153</v>
      </c>
      <c r="S208" s="18">
        <v>5</v>
      </c>
      <c r="T208" s="19">
        <v>79945</v>
      </c>
      <c r="U208" s="19">
        <v>4.9027913068525688</v>
      </c>
      <c r="V208" s="20">
        <v>147836</v>
      </c>
      <c r="W208" s="20">
        <v>5.1697802033252414</v>
      </c>
      <c r="X208" s="20">
        <v>0.25809357541899441</v>
      </c>
      <c r="Y208" s="20">
        <v>0.14832793960000001</v>
      </c>
      <c r="Z208" s="20">
        <f t="shared" si="86"/>
        <v>-0.8287770359491573</v>
      </c>
      <c r="AB208" s="20"/>
      <c r="AC208" s="20">
        <v>18425</v>
      </c>
      <c r="AE208" s="21"/>
      <c r="AF208" s="21"/>
      <c r="AG208" s="22">
        <v>1.3566303768040872E-2</v>
      </c>
      <c r="AH208" s="22">
        <v>4400</v>
      </c>
      <c r="AI208" s="22">
        <v>1.0306873839999999</v>
      </c>
      <c r="AJ208" s="23">
        <v>572800</v>
      </c>
      <c r="AK208" s="23">
        <f t="shared" ref="AK208:AK248" si="93">LOG(AJ208)</f>
        <v>5.7580030092997996</v>
      </c>
      <c r="AL208" s="24">
        <v>0.40579776400000001</v>
      </c>
      <c r="AM208" s="22">
        <f>115672+118625</f>
        <v>234297</v>
      </c>
      <c r="AN208" s="22">
        <f t="shared" si="82"/>
        <v>0.72239642589560726</v>
      </c>
      <c r="AO208" s="23">
        <v>4.6419670367042795E-2</v>
      </c>
      <c r="AP208" s="33">
        <v>7.2558978999999996E-2</v>
      </c>
      <c r="AQ208" s="23">
        <v>0.86069116300207027</v>
      </c>
      <c r="AR208" s="23">
        <v>324333</v>
      </c>
      <c r="AS208" s="23">
        <v>5.5109911392026412</v>
      </c>
      <c r="AT208" s="23">
        <v>5.4908626690633771</v>
      </c>
      <c r="AU208" s="22">
        <v>1.6259999999999999</v>
      </c>
      <c r="AV208" s="22">
        <v>1.4253584640000001</v>
      </c>
      <c r="AW208" s="22">
        <v>92.8</v>
      </c>
      <c r="AX208" s="22">
        <v>77.3</v>
      </c>
      <c r="AY208" s="22">
        <v>2</v>
      </c>
      <c r="AZ208" s="24">
        <v>197007</v>
      </c>
      <c r="BA208" s="24">
        <f t="shared" si="87"/>
        <v>5.2944816576710512</v>
      </c>
      <c r="BB208" s="24">
        <v>161407</v>
      </c>
      <c r="BC208" s="24">
        <f t="shared" si="88"/>
        <v>5.2079223655499343</v>
      </c>
      <c r="BD208" s="24">
        <v>35600</v>
      </c>
      <c r="BE208" s="23">
        <v>9145</v>
      </c>
      <c r="BF208" s="22">
        <f t="shared" si="91"/>
        <v>6369.5</v>
      </c>
      <c r="BG208" s="23">
        <v>-0.58211478705903852</v>
      </c>
      <c r="BH208" s="23">
        <v>2.8196329081530403E-2</v>
      </c>
      <c r="BI208" s="23">
        <v>7.0674710312487884E-2</v>
      </c>
      <c r="BJ208" s="23">
        <v>1.9487707181479425E-2</v>
      </c>
      <c r="BK208" s="23">
        <v>-0.60104075479247854</v>
      </c>
      <c r="BL208" s="23">
        <v>21884</v>
      </c>
      <c r="BM208" s="24">
        <v>12595</v>
      </c>
      <c r="BN208" s="22">
        <f t="shared" si="92"/>
        <v>2693</v>
      </c>
      <c r="BO208" s="22">
        <v>4.1001981718341316</v>
      </c>
      <c r="BP208" s="22">
        <v>6.3931738466145874E-2</v>
      </c>
      <c r="BQ208" s="22">
        <v>1.3258297973549164E-2</v>
      </c>
      <c r="BR208" s="22">
        <v>7.9654550934262804E-3</v>
      </c>
      <c r="BS208" s="22">
        <v>-16890</v>
      </c>
      <c r="BT208" s="22">
        <v>4.2276296495710088</v>
      </c>
      <c r="BU208" s="22">
        <v>5.207610696413871E-2</v>
      </c>
      <c r="BV208" s="23">
        <v>7917</v>
      </c>
      <c r="BW208" s="22">
        <v>128335</v>
      </c>
      <c r="BX208" s="22">
        <v>196.9</v>
      </c>
      <c r="BY208" s="22">
        <v>2.2942457161381182</v>
      </c>
      <c r="BZ208" s="25">
        <v>0.20983102918586793</v>
      </c>
      <c r="CA208" s="23">
        <v>1.50675227484701E-2</v>
      </c>
      <c r="CB208" s="23">
        <v>1.5067522748470099</v>
      </c>
      <c r="CC208" s="23">
        <v>0.17804185582454041</v>
      </c>
      <c r="CD208" s="23">
        <v>2.0079372103467861E-2</v>
      </c>
      <c r="CE208" s="23">
        <v>3.1335239457349999E-2</v>
      </c>
      <c r="CF208" s="23">
        <v>1.5007616146230007</v>
      </c>
      <c r="CG208" s="23">
        <f t="shared" si="89"/>
        <v>0.40597272233226217</v>
      </c>
      <c r="CH208" s="26">
        <v>13.72</v>
      </c>
      <c r="CI208" s="26">
        <v>18.02</v>
      </c>
      <c r="CJ208" s="26">
        <v>1.1373541113707328</v>
      </c>
      <c r="CK208" s="26">
        <v>1.2557547866430441</v>
      </c>
      <c r="CL208" s="26">
        <v>-0.23862375138734734</v>
      </c>
      <c r="CM208" s="27">
        <v>14.834099616858232</v>
      </c>
      <c r="CN208" s="27">
        <v>-0.20282902322516949</v>
      </c>
      <c r="CO208" s="27">
        <v>8.3248809519999991</v>
      </c>
      <c r="CP208" s="27">
        <v>-0.18740286944946707</v>
      </c>
      <c r="CQ208" s="27">
        <v>73.031538461538446</v>
      </c>
      <c r="CR208" s="27">
        <v>2.494318825872599E-2</v>
      </c>
      <c r="CS208" s="27">
        <v>0.8023754789272034</v>
      </c>
      <c r="CT208" s="27">
        <v>0.83494252873563157</v>
      </c>
      <c r="CU208" s="27">
        <v>-3.9005139500733109E-2</v>
      </c>
      <c r="CV208" s="27">
        <v>0.96896551724137914</v>
      </c>
      <c r="CW208" s="27">
        <v>1.9863083220061237</v>
      </c>
      <c r="CX208" s="36">
        <v>0.62</v>
      </c>
      <c r="CY208" s="28">
        <v>0.54</v>
      </c>
      <c r="CZ208" s="29">
        <v>18.565019159999999</v>
      </c>
      <c r="DA208" s="27">
        <v>-0.24416841623821645</v>
      </c>
      <c r="DB208" s="27">
        <v>1.1698744465812936</v>
      </c>
      <c r="DC208" s="27">
        <v>1.7682050254071211</v>
      </c>
      <c r="DD208" s="27">
        <v>1</v>
      </c>
      <c r="DE208" s="27">
        <v>1.4</v>
      </c>
      <c r="DF208" s="27">
        <v>104.8</v>
      </c>
      <c r="DG208" s="28">
        <v>4.6520537718869415</v>
      </c>
      <c r="DH208" s="27">
        <v>1.03712</v>
      </c>
      <c r="DI208" s="27">
        <v>4.3</v>
      </c>
      <c r="DJ208" s="27">
        <v>-0.5</v>
      </c>
      <c r="DK208" s="27">
        <v>1.3</v>
      </c>
      <c r="DL208" s="27">
        <v>1.2152522197973097E-2</v>
      </c>
      <c r="DM208" s="27">
        <v>0.72770000000000001</v>
      </c>
      <c r="DN208" s="28">
        <v>0.77380000000000004</v>
      </c>
      <c r="DO208" s="28">
        <v>3.3939070016034328E-2</v>
      </c>
      <c r="DP208" s="28">
        <v>-3.9973614775725586E-2</v>
      </c>
      <c r="DQ208" s="27">
        <v>5.8499999999999996E-2</v>
      </c>
      <c r="DR208" s="27">
        <v>1.50675227484701E-2</v>
      </c>
      <c r="DS208" s="27">
        <v>3.1335239457349999E-2</v>
      </c>
      <c r="DT208" s="27">
        <v>2.0079372103467861E-2</v>
      </c>
      <c r="DU208" s="30">
        <v>7.3719619999999999</v>
      </c>
      <c r="DV208">
        <v>1.5</v>
      </c>
      <c r="DW208">
        <v>2.1</v>
      </c>
      <c r="DX208">
        <v>105.4</v>
      </c>
      <c r="DY208">
        <v>105.7</v>
      </c>
      <c r="DZ208">
        <v>0.2</v>
      </c>
      <c r="EA208">
        <v>0.8</v>
      </c>
      <c r="EB208">
        <v>1.343728</v>
      </c>
    </row>
    <row r="209" spans="1:132" ht="18">
      <c r="A209" s="14" t="s">
        <v>167</v>
      </c>
      <c r="B209" s="14">
        <v>13</v>
      </c>
      <c r="C209" s="14" t="s">
        <v>137</v>
      </c>
      <c r="D209" s="14" t="s">
        <v>168</v>
      </c>
      <c r="E209" s="14" t="s">
        <v>143</v>
      </c>
      <c r="F209" s="15">
        <v>131622</v>
      </c>
      <c r="G209" s="15">
        <v>5.1193284856310086</v>
      </c>
      <c r="H209" s="15">
        <v>91017</v>
      </c>
      <c r="I209" s="15">
        <v>16383</v>
      </c>
      <c r="J209" s="16">
        <v>24222</v>
      </c>
      <c r="K209" s="16">
        <v>1</v>
      </c>
      <c r="L209" s="17">
        <v>0.37476830035676761</v>
      </c>
      <c r="M209" s="18">
        <v>153</v>
      </c>
      <c r="N209" s="18">
        <v>82</v>
      </c>
      <c r="O209" s="18">
        <v>0.92489370533923998</v>
      </c>
      <c r="P209" s="18">
        <v>3</v>
      </c>
      <c r="Q209" s="18">
        <f t="shared" si="90"/>
        <v>2.6666666666666665</v>
      </c>
      <c r="R209" s="18">
        <v>153</v>
      </c>
      <c r="S209" s="18">
        <v>5</v>
      </c>
      <c r="T209" s="19">
        <v>79600</v>
      </c>
      <c r="U209" s="19">
        <v>4.9009130677376689</v>
      </c>
      <c r="V209" s="20">
        <v>153955</v>
      </c>
      <c r="W209" s="20">
        <v>5.1873937980599223</v>
      </c>
      <c r="X209" s="20">
        <v>0.25980195279672486</v>
      </c>
      <c r="Y209" s="20">
        <v>0.17411103580000001</v>
      </c>
      <c r="Z209" s="20">
        <f t="shared" si="86"/>
        <v>-0.75917370082323221</v>
      </c>
      <c r="AB209" s="20"/>
      <c r="AC209" s="20">
        <v>23361</v>
      </c>
      <c r="AE209" s="21"/>
      <c r="AF209" s="21"/>
      <c r="AG209" s="22">
        <v>1.3951806474207665E-2</v>
      </c>
      <c r="AH209" s="22">
        <v>4900</v>
      </c>
      <c r="AI209" s="22">
        <v>0.95909700740000003</v>
      </c>
      <c r="AJ209" s="23">
        <v>592586</v>
      </c>
      <c r="AK209" s="23">
        <f t="shared" si="93"/>
        <v>5.7727513869439511</v>
      </c>
      <c r="AL209" s="24">
        <v>0.39316796599999998</v>
      </c>
      <c r="AM209" s="22">
        <f>130314+130706</f>
        <v>261020</v>
      </c>
      <c r="AN209" s="22">
        <f t="shared" si="82"/>
        <v>0.74320418895871121</v>
      </c>
      <c r="AO209" s="23">
        <v>5.4668128698297916E-2</v>
      </c>
      <c r="AP209" s="33">
        <v>7.1126720000000004E-2</v>
      </c>
      <c r="AQ209" s="23">
        <v>0.8520327817226625</v>
      </c>
      <c r="AR209" s="23">
        <v>351209</v>
      </c>
      <c r="AS209" s="23">
        <v>5.545565636505863</v>
      </c>
      <c r="AT209" s="23">
        <v>5.5109911392026412</v>
      </c>
      <c r="AU209" s="22">
        <v>1.831</v>
      </c>
      <c r="AV209" s="22">
        <v>1.6141325440000001</v>
      </c>
      <c r="AW209" s="22">
        <v>86.5</v>
      </c>
      <c r="AX209" s="22">
        <v>92.8</v>
      </c>
      <c r="AY209" s="22">
        <v>2</v>
      </c>
      <c r="AZ209" s="24">
        <v>202458</v>
      </c>
      <c r="BA209" s="24">
        <f t="shared" si="87"/>
        <v>5.3063349423156492</v>
      </c>
      <c r="BB209" s="24">
        <v>165934</v>
      </c>
      <c r="BC209" s="24">
        <f t="shared" si="88"/>
        <v>5.2199353824046977</v>
      </c>
      <c r="BD209" s="24">
        <v>36524</v>
      </c>
      <c r="BE209" s="23">
        <v>11068</v>
      </c>
      <c r="BF209" s="22">
        <f t="shared" si="91"/>
        <v>961.5</v>
      </c>
      <c r="BG209" s="23">
        <v>0.21027884089666485</v>
      </c>
      <c r="BH209" s="23">
        <v>3.1513998787047026E-2</v>
      </c>
      <c r="BI209" s="23">
        <v>2.8196329081530403E-2</v>
      </c>
      <c r="BJ209" s="23">
        <v>1.9487707181479425E-2</v>
      </c>
      <c r="BK209" s="23">
        <v>0.11766317863305882</v>
      </c>
      <c r="BL209" s="23">
        <v>9145</v>
      </c>
      <c r="BM209" s="24">
        <v>10784</v>
      </c>
      <c r="BN209" s="22">
        <f>STDEVP(BM208:BM209)</f>
        <v>905.5</v>
      </c>
      <c r="BO209" s="22">
        <v>4.0327798791912448</v>
      </c>
      <c r="BP209" s="22">
        <v>5.3265368619664327E-2</v>
      </c>
      <c r="BQ209" s="22">
        <v>5.3331849232407733E-3</v>
      </c>
      <c r="BR209" s="22">
        <v>1.3258297973549164E-2</v>
      </c>
      <c r="BS209" s="22">
        <v>-19099</v>
      </c>
      <c r="BT209" s="22">
        <v>4.2810106287214831</v>
      </c>
      <c r="BU209" s="22">
        <v>5.4380724867529019E-2</v>
      </c>
      <c r="BV209" s="23">
        <v>14454</v>
      </c>
      <c r="BW209" s="22">
        <v>145577</v>
      </c>
      <c r="BX209" s="22">
        <v>180.1</v>
      </c>
      <c r="BY209" s="22">
        <v>2.2555137128195333</v>
      </c>
      <c r="BZ209" s="25">
        <v>-8.5322498730320009E-2</v>
      </c>
      <c r="CA209" s="23">
        <v>3.1335239457349999E-2</v>
      </c>
      <c r="CB209" s="23">
        <v>3.1335239457349999</v>
      </c>
      <c r="CC209" s="23">
        <v>0.49603301783632175</v>
      </c>
      <c r="CD209" s="23">
        <v>1.50675227484701E-2</v>
      </c>
      <c r="CE209" s="23">
        <v>2.7077520000000001E-2</v>
      </c>
      <c r="CF209" s="23">
        <v>1.3434000678656259</v>
      </c>
      <c r="CG209" s="23">
        <f t="shared" si="89"/>
        <v>0.29520376436843582</v>
      </c>
      <c r="CH209" s="26">
        <v>19.2</v>
      </c>
      <c r="CI209" s="26">
        <v>13.72</v>
      </c>
      <c r="CJ209" s="26">
        <v>1.2833012287035497</v>
      </c>
      <c r="CK209" s="26">
        <v>1.1373541113707328</v>
      </c>
      <c r="CL209" s="26">
        <v>0.39941690962099113</v>
      </c>
      <c r="CM209" s="27">
        <v>14.883180076628348</v>
      </c>
      <c r="CN209" s="27">
        <v>3.3086241186042575E-3</v>
      </c>
      <c r="CO209" s="27">
        <v>6.9159523810000003</v>
      </c>
      <c r="CP209" s="27">
        <v>-0.1692430893755319</v>
      </c>
      <c r="CQ209" s="27">
        <v>64.583076923076902</v>
      </c>
      <c r="CR209" s="27">
        <v>-0.11568237115682381</v>
      </c>
      <c r="CS209" s="27">
        <v>0.66574712643678124</v>
      </c>
      <c r="CT209" s="27">
        <v>0.8023754789272034</v>
      </c>
      <c r="CU209" s="27">
        <v>-0.1702798204564997</v>
      </c>
      <c r="CV209" s="27">
        <v>0.67685823754789287</v>
      </c>
      <c r="CW209" s="27">
        <v>1.8304977187626064</v>
      </c>
      <c r="CX209" s="36">
        <v>1.33</v>
      </c>
      <c r="CY209" s="28">
        <v>0.62</v>
      </c>
      <c r="CZ209" s="29">
        <v>18.278045980000002</v>
      </c>
      <c r="DA209" s="27">
        <v>-1.5457736807420394E-2</v>
      </c>
      <c r="DC209" s="27">
        <v>1.1698744465812936</v>
      </c>
      <c r="DD209" s="27">
        <v>1</v>
      </c>
      <c r="DE209" s="27">
        <v>1</v>
      </c>
      <c r="DF209" s="27">
        <v>106.6</v>
      </c>
      <c r="DG209" s="28">
        <v>4.6690835117317437</v>
      </c>
      <c r="DH209" s="27">
        <v>1.04853</v>
      </c>
      <c r="DI209" s="27">
        <v>4.3</v>
      </c>
      <c r="DJ209" s="27">
        <v>-0.6</v>
      </c>
      <c r="DK209" s="27">
        <v>1</v>
      </c>
      <c r="DL209" s="27">
        <v>1.7108786898118553E-2</v>
      </c>
      <c r="DM209" s="27">
        <v>0.8266</v>
      </c>
      <c r="DN209" s="28">
        <v>0.75860000000000005</v>
      </c>
      <c r="DO209" s="28">
        <v>-1.9643318686999211E-2</v>
      </c>
      <c r="DP209" s="28">
        <v>0.13590765425312626</v>
      </c>
      <c r="DQ209" s="27">
        <v>0.10860000000000003</v>
      </c>
      <c r="DR209" s="27">
        <v>3.1335239457349999E-2</v>
      </c>
      <c r="DS209" s="27">
        <v>2.7611694356583942E-2</v>
      </c>
      <c r="DT209" s="27">
        <v>1.50675227484701E-2</v>
      </c>
      <c r="DU209" s="30">
        <v>6.1553740000000001</v>
      </c>
      <c r="DV209">
        <v>1.6</v>
      </c>
      <c r="DW209">
        <v>2.2999999999999998</v>
      </c>
      <c r="DX209">
        <v>107</v>
      </c>
      <c r="DY209">
        <v>107.5</v>
      </c>
      <c r="DZ209">
        <v>0.4</v>
      </c>
      <c r="EA209">
        <v>1.1000000000000001</v>
      </c>
      <c r="EB209">
        <v>1.4054869999999999</v>
      </c>
    </row>
    <row r="210" spans="1:132" ht="18">
      <c r="A210" s="14" t="s">
        <v>169</v>
      </c>
      <c r="B210" s="14">
        <v>1</v>
      </c>
      <c r="C210" s="14" t="s">
        <v>133</v>
      </c>
      <c r="D210" s="14" t="s">
        <v>134</v>
      </c>
      <c r="E210" s="14" t="s">
        <v>170</v>
      </c>
      <c r="F210" s="15">
        <v>8494</v>
      </c>
      <c r="G210" s="15">
        <v>3.9291122566546606</v>
      </c>
      <c r="I210" s="15"/>
      <c r="L210" s="17">
        <v>0.14143819364077628</v>
      </c>
      <c r="M210" s="18">
        <v>130</v>
      </c>
      <c r="N210" s="18">
        <v>117</v>
      </c>
      <c r="O210" s="18">
        <v>0.96571062329754842</v>
      </c>
      <c r="P210" s="18">
        <v>3</v>
      </c>
      <c r="Q210" s="18">
        <f>(3+3+4)/3</f>
        <v>3.3333333333333335</v>
      </c>
      <c r="R210" s="18">
        <v>130</v>
      </c>
      <c r="S210" s="18">
        <v>5</v>
      </c>
      <c r="T210" s="19">
        <v>30368.9375</v>
      </c>
      <c r="U210" s="19">
        <v>4.4824295977806639</v>
      </c>
      <c r="V210" s="20"/>
      <c r="W210" s="20"/>
      <c r="X210" s="20">
        <v>0</v>
      </c>
      <c r="Y210" s="20">
        <v>0.57643043270000005</v>
      </c>
      <c r="Z210" s="20">
        <f t="shared" si="86"/>
        <v>-0.23925309863392719</v>
      </c>
      <c r="AA210" s="20">
        <v>0.6991542489</v>
      </c>
      <c r="AB210" s="20">
        <v>1023</v>
      </c>
      <c r="AC210" s="20"/>
      <c r="AD210" s="21">
        <v>5610</v>
      </c>
      <c r="AE210" s="21">
        <f t="shared" ref="AE210:AE248" si="94">AD210/AR210</f>
        <v>9.3415147907317517E-2</v>
      </c>
      <c r="AF210" s="21">
        <f t="shared" ref="AF210:AF248" si="95">LOG(AD210)</f>
        <v>3.7489628612561616</v>
      </c>
      <c r="AG210" s="22">
        <v>1.3829105229416614E-2</v>
      </c>
      <c r="AH210" s="22">
        <v>1208</v>
      </c>
      <c r="AI210" s="22">
        <v>3.2453545479999999</v>
      </c>
      <c r="AJ210" s="23">
        <v>254000</v>
      </c>
      <c r="AK210" s="23">
        <f t="shared" si="93"/>
        <v>5.4048337166199385</v>
      </c>
      <c r="AL210" s="24">
        <v>0.49543517300000001</v>
      </c>
      <c r="AM210" s="22">
        <v>51720</v>
      </c>
      <c r="AN210" s="22">
        <v>0.59208718747138012</v>
      </c>
      <c r="AO210" s="23">
        <v>8.4836249439210407E-2</v>
      </c>
      <c r="AP210" s="23">
        <v>2.9779962632071749E-3</v>
      </c>
      <c r="AQ210" s="23">
        <v>-0.5260758515366708</v>
      </c>
      <c r="AR210" s="23">
        <v>60054.5</v>
      </c>
      <c r="AS210" s="23">
        <v>4.7785455554849037</v>
      </c>
      <c r="AT210" s="23">
        <f>LOG(89743.8234)</f>
        <v>4.9530045680514174</v>
      </c>
      <c r="AU210" s="22">
        <v>1.125</v>
      </c>
      <c r="AV210" s="22">
        <v>0.57754027969999999</v>
      </c>
      <c r="AW210" s="22">
        <v>77.6875</v>
      </c>
      <c r="AX210" s="22"/>
      <c r="AY210" s="22">
        <v>2</v>
      </c>
      <c r="AZ210" s="24">
        <v>61297.5</v>
      </c>
      <c r="BA210" s="24">
        <f t="shared" si="87"/>
        <v>4.7874427623105005</v>
      </c>
      <c r="BB210" s="24">
        <v>26483.1875</v>
      </c>
      <c r="BC210" s="24">
        <f t="shared" si="88"/>
        <v>4.4229702553277139</v>
      </c>
      <c r="BD210" s="24">
        <v>34814.3125</v>
      </c>
      <c r="BE210" s="23">
        <v>5200.25</v>
      </c>
      <c r="BF210" s="23">
        <v>441.5</v>
      </c>
      <c r="BG210" s="23">
        <v>-0.22163598263732975</v>
      </c>
      <c r="BH210" s="23">
        <v>8.6592178770949726E-2</v>
      </c>
      <c r="BI210" s="23">
        <v>7.1236645128270742E-2</v>
      </c>
      <c r="BJ210" s="23">
        <v>6.3907912338588016E-2</v>
      </c>
      <c r="BK210" s="23">
        <v>0.21555666490230374</v>
      </c>
      <c r="BL210" s="23">
        <v>6681</v>
      </c>
      <c r="BM210" s="22">
        <v>7045.5</v>
      </c>
      <c r="BN210" s="22"/>
      <c r="BO210" s="22">
        <v>3.8479118192389303</v>
      </c>
      <c r="BP210" s="22">
        <v>0.11493943472409152</v>
      </c>
      <c r="BQ210" s="22">
        <v>6.618457592039384E-3</v>
      </c>
      <c r="BR210" s="22"/>
      <c r="BS210" s="22">
        <v>-3268.375</v>
      </c>
      <c r="BT210" s="22">
        <v>3.5143318798944616</v>
      </c>
      <c r="BU210" s="22">
        <v>5.4423482003846509E-2</v>
      </c>
      <c r="BV210" s="23">
        <v>6540.875</v>
      </c>
      <c r="BW210" s="22">
        <v>20109.375</v>
      </c>
      <c r="BX210" s="22">
        <v>12.20992</v>
      </c>
      <c r="BY210" s="22">
        <v>1.0867128184352697</v>
      </c>
      <c r="BZ210" s="25">
        <v>1.5883977900552515E-2</v>
      </c>
      <c r="CA210" s="23">
        <v>0.42097103802332758</v>
      </c>
      <c r="CB210" s="23">
        <v>42.097103802332761</v>
      </c>
      <c r="CC210" s="23">
        <v>1.6242522182600967</v>
      </c>
      <c r="CD210" s="23">
        <v>0.1086</v>
      </c>
      <c r="CE210" s="23">
        <v>4.4100252349034474E-2</v>
      </c>
      <c r="CF210" s="23">
        <v>1.4649446494464944</v>
      </c>
      <c r="CG210" s="23">
        <f t="shared" si="89"/>
        <v>0.38181745980748943</v>
      </c>
      <c r="CH210" s="26">
        <v>28.62</v>
      </c>
      <c r="CI210" s="26">
        <v>23.8</v>
      </c>
      <c r="CJ210" s="26">
        <v>1.4566696294237576</v>
      </c>
      <c r="CK210" s="26">
        <v>1.3765769570565121</v>
      </c>
      <c r="CL210" s="26">
        <v>0.20252100840336135</v>
      </c>
      <c r="CM210" s="27">
        <v>28.164291187739472</v>
      </c>
      <c r="CN210" s="27">
        <v>5.6821432935815153E-2</v>
      </c>
      <c r="CQ210" s="27">
        <v>125.09884615384618</v>
      </c>
      <c r="CR210" s="27">
        <v>0.13726223776223803</v>
      </c>
      <c r="CS210" s="27">
        <v>0.92386973180076593</v>
      </c>
      <c r="CT210" s="27">
        <v>1.0645593900000001</v>
      </c>
      <c r="CU210" s="27">
        <v>-0.12842478132003218</v>
      </c>
      <c r="CX210" s="36">
        <v>0.76</v>
      </c>
      <c r="CY210" s="28">
        <v>0.82</v>
      </c>
      <c r="CZ210" s="29">
        <v>37.275402300000003</v>
      </c>
      <c r="DA210" s="27">
        <v>0.32652677224199295</v>
      </c>
      <c r="DD210" s="27">
        <v>1</v>
      </c>
      <c r="DF210" s="27">
        <v>91.6</v>
      </c>
      <c r="DG210" s="28">
        <v>4.5174312716800848</v>
      </c>
      <c r="DH210" s="28">
        <v>0.94917899999999999</v>
      </c>
      <c r="DI210" s="27">
        <v>2</v>
      </c>
      <c r="DJ210" s="27">
        <v>3.5</v>
      </c>
      <c r="DK210" s="27">
        <v>2.2999999999999998</v>
      </c>
      <c r="DL210" s="27">
        <v>4.7659593614741015E-2</v>
      </c>
      <c r="DM210" s="28">
        <v>1.3825000000000001</v>
      </c>
      <c r="DN210" s="28">
        <v>1.6603000000000001</v>
      </c>
      <c r="DO210" s="28">
        <v>0.56410739519547803</v>
      </c>
      <c r="DP210" s="28">
        <v>-0.16731915918809856</v>
      </c>
      <c r="DQ210" s="27">
        <v>0.3355999999999999</v>
      </c>
      <c r="DR210" s="27">
        <v>9.2024235999999995E-2</v>
      </c>
      <c r="DS210" s="27">
        <v>5.5980660000000002E-2</v>
      </c>
      <c r="DT210" s="27">
        <v>3.9397159859413521E-2</v>
      </c>
      <c r="DU210" s="30">
        <v>5.7817160000000003</v>
      </c>
      <c r="DV210">
        <v>0.9</v>
      </c>
      <c r="DW210">
        <v>2.8</v>
      </c>
      <c r="DX210">
        <v>84</v>
      </c>
      <c r="DY210">
        <v>80.900000000000006</v>
      </c>
      <c r="DZ210">
        <v>2.2000000000000002</v>
      </c>
      <c r="EA210">
        <v>3</v>
      </c>
      <c r="EB210">
        <v>1.701892</v>
      </c>
    </row>
    <row r="211" spans="1:132" ht="18">
      <c r="A211" s="14" t="s">
        <v>169</v>
      </c>
      <c r="B211" s="14">
        <v>2</v>
      </c>
      <c r="C211" s="14" t="s">
        <v>133</v>
      </c>
      <c r="D211" s="14" t="s">
        <v>134</v>
      </c>
      <c r="E211" s="14" t="s">
        <v>170</v>
      </c>
      <c r="F211" s="15">
        <v>9254</v>
      </c>
      <c r="G211" s="15">
        <v>3.9663294951638783</v>
      </c>
      <c r="I211" s="15"/>
      <c r="L211" s="17">
        <v>0.16061903401890487</v>
      </c>
      <c r="M211" s="18">
        <v>130</v>
      </c>
      <c r="N211" s="18">
        <v>117</v>
      </c>
      <c r="O211" s="18">
        <v>0.96571062329754842</v>
      </c>
      <c r="P211" s="18">
        <v>3</v>
      </c>
      <c r="Q211" s="18">
        <f t="shared" ref="Q211:Q222" si="96">(3+3+4)/3</f>
        <v>3.3333333333333335</v>
      </c>
      <c r="R211" s="18">
        <v>130</v>
      </c>
      <c r="S211" s="18">
        <v>5</v>
      </c>
      <c r="T211" s="19">
        <v>27074.5671</v>
      </c>
      <c r="U211" s="19">
        <v>4.4325615213422616</v>
      </c>
      <c r="V211" s="18">
        <v>149523</v>
      </c>
      <c r="W211" s="20">
        <v>5.1747080020570735</v>
      </c>
      <c r="X211" s="20">
        <v>0.59099999999999997</v>
      </c>
      <c r="Y211" s="20">
        <v>0.56387254200000003</v>
      </c>
      <c r="Z211" s="20">
        <f t="shared" si="86"/>
        <v>-0.2488190530410532</v>
      </c>
      <c r="AA211" s="20">
        <v>0.70456635000000001</v>
      </c>
      <c r="AB211" s="20">
        <v>823.42399999999998</v>
      </c>
      <c r="AC211" s="20"/>
      <c r="AD211" s="21">
        <v>7119.4011</v>
      </c>
      <c r="AE211" s="21">
        <f t="shared" si="94"/>
        <v>0.12356941079264412</v>
      </c>
      <c r="AF211" s="21">
        <f t="shared" si="95"/>
        <v>3.8524434613468341</v>
      </c>
      <c r="AG211" s="22">
        <v>1.3454517033083596E-2</v>
      </c>
      <c r="AH211" s="22">
        <v>1205</v>
      </c>
      <c r="AI211" s="22">
        <v>3.2418086920000002</v>
      </c>
      <c r="AJ211" s="23">
        <v>253000</v>
      </c>
      <c r="AK211" s="23">
        <f t="shared" si="93"/>
        <v>5.4031205211758175</v>
      </c>
      <c r="AL211" s="24">
        <v>0.47837552100000003</v>
      </c>
      <c r="AM211" s="22">
        <v>51738</v>
      </c>
      <c r="AN211" s="22">
        <v>0.57768448320139343</v>
      </c>
      <c r="AO211" s="23">
        <v>7.0619125018470313E-2</v>
      </c>
      <c r="AP211" s="33">
        <v>2.4508009999999998E-3</v>
      </c>
      <c r="AQ211" s="23">
        <v>-0.61069195113492891</v>
      </c>
      <c r="AR211" s="23">
        <v>57614.5913</v>
      </c>
      <c r="AS211" s="23">
        <v>4.7605324854817388</v>
      </c>
      <c r="AT211" s="23">
        <v>4.7785455554849037</v>
      </c>
      <c r="AU211" s="22">
        <v>1.0669999999999999</v>
      </c>
      <c r="AV211" s="22">
        <v>0.51427369580000004</v>
      </c>
      <c r="AW211" s="22">
        <v>76.911600000000007</v>
      </c>
      <c r="AX211" s="22">
        <v>77.6875</v>
      </c>
      <c r="AY211" s="22">
        <v>2</v>
      </c>
      <c r="AZ211" s="24">
        <v>56596.890700000004</v>
      </c>
      <c r="BA211" s="24">
        <f t="shared" si="87"/>
        <v>4.7527925727267082</v>
      </c>
      <c r="BB211" s="24">
        <v>24177.143899999999</v>
      </c>
      <c r="BC211" s="24">
        <f t="shared" si="88"/>
        <v>4.3834049953778624</v>
      </c>
      <c r="BD211" s="24">
        <v>32419.746800000004</v>
      </c>
      <c r="BE211" s="23">
        <v>3996.8229000000001</v>
      </c>
      <c r="BF211" s="23">
        <f>STDEVP(BE210:BE211)</f>
        <v>601.71355000000221</v>
      </c>
      <c r="BG211" s="23">
        <v>-0.23141716263641168</v>
      </c>
      <c r="BH211" s="23">
        <v>6.9371713134065052E-2</v>
      </c>
      <c r="BI211" s="23">
        <v>8.6592178770949726E-2</v>
      </c>
      <c r="BJ211" s="23">
        <v>6.3907912338588016E-2</v>
      </c>
      <c r="BK211" s="23">
        <v>-0.19886860316144236</v>
      </c>
      <c r="BL211" s="23">
        <v>5200.25</v>
      </c>
      <c r="BM211" s="22">
        <v>6513.4125000000004</v>
      </c>
      <c r="BN211" s="22">
        <f>STDEVP(BM210:BM211)</f>
        <v>266.04374999999982</v>
      </c>
      <c r="BO211" s="22">
        <v>3.8138085832870745</v>
      </c>
      <c r="BP211" s="22">
        <v>0.11508428147626137</v>
      </c>
      <c r="BQ211" s="22">
        <v>7.2423376084929103E-5</v>
      </c>
      <c r="BR211" s="22">
        <v>6.618457592039384E-3</v>
      </c>
      <c r="BS211" s="22">
        <v>-3041.5223999999998</v>
      </c>
      <c r="BT211" s="22">
        <v>3.4830910192735671</v>
      </c>
      <c r="BU211" s="22">
        <v>5.2790835296613478E-2</v>
      </c>
      <c r="BV211" s="23">
        <v>5623.7286000000004</v>
      </c>
      <c r="BW211" s="23">
        <v>18966.4139</v>
      </c>
      <c r="BX211" s="22">
        <v>12.686652</v>
      </c>
      <c r="BY211" s="22">
        <v>1.1033470271565036</v>
      </c>
      <c r="BZ211" s="25">
        <v>3.9044645665164072E-2</v>
      </c>
      <c r="CA211" s="23">
        <v>4.4100252349034474E-2</v>
      </c>
      <c r="CB211" s="23">
        <v>4.410025234903447</v>
      </c>
      <c r="CC211" s="23">
        <v>0.64444107458075528</v>
      </c>
      <c r="CD211" s="23">
        <v>0.42097103802332758</v>
      </c>
      <c r="CE211" s="23">
        <v>4.5930002129747863E-2</v>
      </c>
      <c r="CF211" s="23">
        <v>1.3480497213887699</v>
      </c>
      <c r="CG211" s="23">
        <f t="shared" si="89"/>
        <v>0.298658897113111</v>
      </c>
      <c r="CH211" s="26">
        <v>18.309999999999999</v>
      </c>
      <c r="CI211" s="26">
        <v>28.62</v>
      </c>
      <c r="CJ211" s="26">
        <v>1.2626883443016965</v>
      </c>
      <c r="CK211" s="26">
        <v>1.4566696294237576</v>
      </c>
      <c r="CL211" s="26">
        <v>-0.36023759608665273</v>
      </c>
      <c r="CM211" s="27">
        <v>22.615402298850572</v>
      </c>
      <c r="CN211" s="27">
        <v>-0.19701858825065877</v>
      </c>
      <c r="CQ211" s="27">
        <v>115.89653846153851</v>
      </c>
      <c r="CR211" s="27">
        <v>-7.3560292322686169E-2</v>
      </c>
      <c r="CS211" s="27">
        <v>0.92888888888888932</v>
      </c>
      <c r="CT211" s="27">
        <v>0.92386973180076604</v>
      </c>
      <c r="CU211" s="27">
        <v>5.4327541160378483E-3</v>
      </c>
      <c r="CX211" s="36">
        <v>0.66</v>
      </c>
      <c r="CY211" s="28">
        <v>0.76</v>
      </c>
      <c r="CZ211" s="29">
        <v>31.998965519999999</v>
      </c>
      <c r="DA211" s="27">
        <v>-0.14155277889515908</v>
      </c>
      <c r="DD211" s="27">
        <v>1</v>
      </c>
      <c r="DF211" s="27">
        <v>92.5</v>
      </c>
      <c r="DG211" s="28">
        <v>4.5272086445183799</v>
      </c>
      <c r="DH211" s="28">
        <v>0.95414600000000005</v>
      </c>
      <c r="DI211" s="27">
        <v>2</v>
      </c>
      <c r="DJ211" s="27">
        <v>1.7</v>
      </c>
      <c r="DK211" s="27">
        <v>2</v>
      </c>
      <c r="DL211" s="27">
        <v>3.9486334619560207E-2</v>
      </c>
      <c r="DM211" s="28">
        <v>1.2363999999999999</v>
      </c>
      <c r="DN211" s="28">
        <v>1.3825000000000001</v>
      </c>
      <c r="DO211" s="28">
        <v>-0.16731915918809856</v>
      </c>
      <c r="DP211" s="28">
        <v>-0.10567811934900551</v>
      </c>
      <c r="DQ211" s="27">
        <v>0.18470000000000009</v>
      </c>
      <c r="DR211" s="27">
        <v>3.9397160000000001E-2</v>
      </c>
      <c r="DS211" s="27">
        <v>9.2024235796175066E-2</v>
      </c>
      <c r="DT211" s="27">
        <v>4.4794707066032217E-2</v>
      </c>
      <c r="DU211" s="30">
        <v>5.9865389999999996</v>
      </c>
      <c r="DV211">
        <v>0.9</v>
      </c>
      <c r="DW211">
        <v>2.8</v>
      </c>
      <c r="DX211">
        <v>85.7</v>
      </c>
      <c r="DY211">
        <v>82.9</v>
      </c>
      <c r="DZ211">
        <v>2.4</v>
      </c>
      <c r="EA211">
        <v>2</v>
      </c>
      <c r="EB211">
        <v>1.4781599999999999</v>
      </c>
    </row>
    <row r="212" spans="1:132" ht="18">
      <c r="A212" s="14" t="s">
        <v>169</v>
      </c>
      <c r="B212" s="14">
        <v>3</v>
      </c>
      <c r="C212" s="14" t="s">
        <v>133</v>
      </c>
      <c r="D212" s="14" t="s">
        <v>134</v>
      </c>
      <c r="E212" s="14" t="s">
        <v>170</v>
      </c>
      <c r="F212" s="15">
        <v>6431</v>
      </c>
      <c r="G212" s="15">
        <v>3.808278509582768</v>
      </c>
      <c r="I212" s="15"/>
      <c r="L212" s="17">
        <v>0.11337288398661553</v>
      </c>
      <c r="M212" s="18">
        <v>130</v>
      </c>
      <c r="N212" s="18">
        <v>117</v>
      </c>
      <c r="O212" s="18">
        <v>0.96571062329754842</v>
      </c>
      <c r="P212" s="18">
        <v>3</v>
      </c>
      <c r="Q212" s="18">
        <f t="shared" si="96"/>
        <v>3.3333333333333335</v>
      </c>
      <c r="R212" s="18">
        <v>130</v>
      </c>
      <c r="S212" s="18">
        <v>5</v>
      </c>
      <c r="T212" s="19">
        <v>27647.0337</v>
      </c>
      <c r="U212" s="19">
        <v>4.441648541903704</v>
      </c>
      <c r="V212" s="18">
        <v>152152</v>
      </c>
      <c r="W212" s="20">
        <v>5.182277665424091</v>
      </c>
      <c r="X212" s="20">
        <v>0.61599999999999999</v>
      </c>
      <c r="Y212" s="20">
        <v>0.63166207139999997</v>
      </c>
      <c r="Z212" s="20">
        <f t="shared" si="86"/>
        <v>-0.1995151998449361</v>
      </c>
      <c r="AA212" s="20">
        <v>0.7218127218</v>
      </c>
      <c r="AB212" s="20">
        <v>911.82</v>
      </c>
      <c r="AC212" s="20"/>
      <c r="AD212" s="21">
        <v>5528.2344000000003</v>
      </c>
      <c r="AE212" s="21">
        <f t="shared" si="94"/>
        <v>9.7457919030013551E-2</v>
      </c>
      <c r="AF212" s="21">
        <f t="shared" si="95"/>
        <v>3.7425864490673666</v>
      </c>
      <c r="AG212" s="22">
        <v>1.6223850093002961E-2</v>
      </c>
      <c r="AH212" s="22">
        <v>1413</v>
      </c>
      <c r="AI212" s="22">
        <v>2.9169449049999998</v>
      </c>
      <c r="AJ212" s="23">
        <v>247000</v>
      </c>
      <c r="AK212" s="23">
        <f t="shared" si="93"/>
        <v>5.3926969532596658</v>
      </c>
      <c r="AL212" s="24">
        <v>0.501228008</v>
      </c>
      <c r="AM212" s="22">
        <v>46818</v>
      </c>
      <c r="AN212" s="22">
        <v>0.53755712218981788</v>
      </c>
      <c r="AO212" s="23">
        <v>8.3020427441256345E-2</v>
      </c>
      <c r="AP212" s="33">
        <v>6.11234E-3</v>
      </c>
      <c r="AQ212" s="23">
        <v>-0.21379249605262821</v>
      </c>
      <c r="AR212" s="23">
        <v>56724.322200000002</v>
      </c>
      <c r="AS212" s="23">
        <v>4.7537693151949902</v>
      </c>
      <c r="AT212" s="23">
        <v>4.7605324854817388</v>
      </c>
      <c r="AU212" s="22">
        <v>0.88100000000000001</v>
      </c>
      <c r="AV212" s="22">
        <v>0.42269152450000003</v>
      </c>
      <c r="AW212" s="22">
        <v>74.508499999999998</v>
      </c>
      <c r="AX212" s="22">
        <v>76.911600000000007</v>
      </c>
      <c r="AY212" s="22">
        <v>2</v>
      </c>
      <c r="AZ212" s="24">
        <v>55158.597000000002</v>
      </c>
      <c r="BA212" s="24">
        <f t="shared" si="87"/>
        <v>4.7416132110406641</v>
      </c>
      <c r="BB212" s="24">
        <v>22998.705600000001</v>
      </c>
      <c r="BC212" s="24">
        <f t="shared" si="88"/>
        <v>4.3617033939916627</v>
      </c>
      <c r="BD212" s="24">
        <v>32159.8914</v>
      </c>
      <c r="BE212" s="23">
        <v>4579.2902999999997</v>
      </c>
      <c r="BF212" s="23">
        <f t="shared" ref="BF212:BF222" si="97">STDEVP(BE211:BE212)</f>
        <v>291.23369999999977</v>
      </c>
      <c r="BG212" s="23">
        <v>0.1457326017622646</v>
      </c>
      <c r="BH212" s="23">
        <v>8.0728867660229173E-2</v>
      </c>
      <c r="BI212" s="23">
        <v>6.9371713134065052E-2</v>
      </c>
      <c r="BJ212" s="23">
        <v>6.3907912338588016E-2</v>
      </c>
      <c r="BK212" s="23">
        <v>0.16371448841425798</v>
      </c>
      <c r="BL212" s="23">
        <v>3996.8229000000001</v>
      </c>
      <c r="BM212" s="22">
        <v>6781.3356000000003</v>
      </c>
      <c r="BN212" s="22">
        <f t="shared" ref="BN212:BN221" si="98">STDEVP(BM211:BM212)</f>
        <v>133.96154999999999</v>
      </c>
      <c r="BO212" s="22">
        <v>3.8313152376112805</v>
      </c>
      <c r="BP212" s="22">
        <v>0.12294249616247491</v>
      </c>
      <c r="BQ212" s="22">
        <v>3.9291073431067663E-3</v>
      </c>
      <c r="BR212" s="22">
        <v>7.2423376084929103E-5</v>
      </c>
      <c r="BS212" s="22">
        <v>-2588.2662</v>
      </c>
      <c r="BT212" s="22">
        <v>3.4130089409478788</v>
      </c>
      <c r="BU212" s="22">
        <v>4.5628860771120855E-2</v>
      </c>
      <c r="BV212" s="23">
        <v>7751.1212999999998</v>
      </c>
      <c r="BW212" s="22">
        <v>16577.5389</v>
      </c>
      <c r="BX212" s="22">
        <v>13.001645999999999</v>
      </c>
      <c r="BY212" s="22">
        <v>1.1139983371888067</v>
      </c>
      <c r="BZ212" s="25">
        <v>2.4828772792065128E-2</v>
      </c>
      <c r="CA212" s="23">
        <v>4.5930002129747863E-2</v>
      </c>
      <c r="CB212" s="23">
        <v>4.5930002129747862</v>
      </c>
      <c r="CC212" s="23">
        <v>0.66209646555591006</v>
      </c>
      <c r="CD212" s="23">
        <v>4.4100252349034474E-2</v>
      </c>
      <c r="CE212" s="23">
        <v>2.2976807797772551E-2</v>
      </c>
      <c r="CF212" s="23">
        <v>1.2536231884057971</v>
      </c>
      <c r="CG212" s="23">
        <f t="shared" si="89"/>
        <v>0.22603790934057427</v>
      </c>
      <c r="CH212" s="26">
        <v>13.29</v>
      </c>
      <c r="CI212" s="26">
        <v>18.309999999999999</v>
      </c>
      <c r="CJ212" s="26">
        <v>1.1235249809427319</v>
      </c>
      <c r="CK212" s="26">
        <v>1.2626883443016965</v>
      </c>
      <c r="CL212" s="26">
        <v>-0.27416712179137082</v>
      </c>
      <c r="CM212" s="27">
        <v>16.030268199233717</v>
      </c>
      <c r="CN212" s="27">
        <v>-0.29117917128326054</v>
      </c>
      <c r="CQ212" s="27">
        <v>102.09153846153851</v>
      </c>
      <c r="CR212" s="27">
        <v>-0.11911486040268011</v>
      </c>
      <c r="CS212" s="27">
        <v>0.9859003831417622</v>
      </c>
      <c r="CT212" s="27">
        <v>0.92888888888888899</v>
      </c>
      <c r="CU212" s="27">
        <v>6.1376010559312889E-2</v>
      </c>
      <c r="CV212" s="27">
        <v>1.140877862595419</v>
      </c>
      <c r="CW212" s="27">
        <v>2.0572391532349976</v>
      </c>
      <c r="CX212" s="36">
        <v>1.07</v>
      </c>
      <c r="CY212" s="28">
        <v>0.66</v>
      </c>
      <c r="CZ212" s="29">
        <v>18.886297710000001</v>
      </c>
      <c r="DA212" s="27">
        <v>-0.40978411635852152</v>
      </c>
      <c r="DD212" s="27">
        <v>1</v>
      </c>
      <c r="DF212" s="27">
        <v>92.9</v>
      </c>
      <c r="DG212" s="28">
        <v>4.5315236458197932</v>
      </c>
      <c r="DH212" s="28">
        <v>0.95896300000000001</v>
      </c>
      <c r="DI212" s="27">
        <v>1.9</v>
      </c>
      <c r="DJ212" s="27">
        <v>2.2000000000000002</v>
      </c>
      <c r="DK212" s="27">
        <v>2.1</v>
      </c>
      <c r="DL212" s="27">
        <v>5.1339710048797935E-2</v>
      </c>
      <c r="DM212" s="28">
        <v>1.1366000000000001</v>
      </c>
      <c r="DN212" s="28">
        <v>1.2363999999999999</v>
      </c>
      <c r="DO212" s="28">
        <v>-0.10567811934900551</v>
      </c>
      <c r="DP212" s="28">
        <v>-8.0718214170171373E-2</v>
      </c>
      <c r="DQ212" s="27">
        <v>0.18440000000000012</v>
      </c>
      <c r="DR212" s="27">
        <v>4.4794707000000003E-2</v>
      </c>
      <c r="DS212" s="27">
        <v>3.9397159859413521E-2</v>
      </c>
      <c r="DT212" s="27">
        <v>5.0715858244880299E-2</v>
      </c>
      <c r="DU212" s="30">
        <v>5.5230399999999999</v>
      </c>
      <c r="DV212">
        <v>0.3</v>
      </c>
      <c r="DW212">
        <v>2.6</v>
      </c>
      <c r="DX212">
        <v>88</v>
      </c>
      <c r="DY212">
        <v>85.1</v>
      </c>
      <c r="DZ212">
        <v>2</v>
      </c>
      <c r="EA212">
        <v>1.5</v>
      </c>
      <c r="EB212">
        <v>1.913224</v>
      </c>
    </row>
    <row r="213" spans="1:132" ht="18">
      <c r="A213" s="14" t="s">
        <v>169</v>
      </c>
      <c r="B213" s="14">
        <v>4</v>
      </c>
      <c r="C213" s="14" t="s">
        <v>133</v>
      </c>
      <c r="D213" s="14" t="s">
        <v>134</v>
      </c>
      <c r="E213" s="14" t="s">
        <v>170</v>
      </c>
      <c r="F213" s="15">
        <v>8320</v>
      </c>
      <c r="G213" s="15">
        <v>3.920123326290724</v>
      </c>
      <c r="I213" s="15"/>
      <c r="L213" s="17">
        <v>0.12538461580194582</v>
      </c>
      <c r="M213" s="18">
        <v>130</v>
      </c>
      <c r="N213" s="18">
        <v>117</v>
      </c>
      <c r="O213" s="18">
        <v>0.96571062329754842</v>
      </c>
      <c r="P213" s="18">
        <v>3</v>
      </c>
      <c r="Q213" s="18">
        <f t="shared" si="96"/>
        <v>3.3333333333333335</v>
      </c>
      <c r="R213" s="18">
        <v>130</v>
      </c>
      <c r="S213" s="18">
        <v>5</v>
      </c>
      <c r="T213" s="19">
        <v>27940.792000000001</v>
      </c>
      <c r="U213" s="19">
        <v>4.4462387123134075</v>
      </c>
      <c r="V213" s="18">
        <v>15525</v>
      </c>
      <c r="W213" s="20">
        <v>4.1910316088486175</v>
      </c>
      <c r="X213" s="20">
        <v>6.2100000000000002E-2</v>
      </c>
      <c r="Y213" s="20">
        <v>0.65554970310000005</v>
      </c>
      <c r="Z213" s="20">
        <f t="shared" si="86"/>
        <v>-0.18339437496743316</v>
      </c>
      <c r="AA213" s="20">
        <v>0.72038523269999999</v>
      </c>
      <c r="AB213" s="20">
        <v>939.28399999999999</v>
      </c>
      <c r="AC213" s="20"/>
      <c r="AD213" s="21">
        <v>3867.6019999999999</v>
      </c>
      <c r="AE213" s="21">
        <f t="shared" si="94"/>
        <v>5.8285792168850631E-2</v>
      </c>
      <c r="AF213" s="21">
        <f t="shared" si="95"/>
        <v>3.5874417761407691</v>
      </c>
      <c r="AG213" s="22">
        <v>1.4593352674312195E-2</v>
      </c>
      <c r="AH213" s="22">
        <v>1499</v>
      </c>
      <c r="AI213" s="22">
        <v>3.088151377</v>
      </c>
      <c r="AJ213" s="23">
        <v>250000</v>
      </c>
      <c r="AK213" s="23">
        <f t="shared" si="93"/>
        <v>5.3979400086720375</v>
      </c>
      <c r="AL213" s="24">
        <v>0.47490529799999998</v>
      </c>
      <c r="AM213" s="22">
        <v>53650</v>
      </c>
      <c r="AN213" s="22">
        <v>0.52230378317334836</v>
      </c>
      <c r="AO213" s="23">
        <v>9.3527312654405725E-2</v>
      </c>
      <c r="AP213" s="33">
        <v>1.818225E-2</v>
      </c>
      <c r="AQ213" s="23">
        <v>0.25964762487721865</v>
      </c>
      <c r="AR213" s="23">
        <v>66355.828000000009</v>
      </c>
      <c r="AS213" s="23">
        <v>4.8218790727480965</v>
      </c>
      <c r="AT213" s="23">
        <v>4.7537693151949902</v>
      </c>
      <c r="AU213" s="22">
        <v>0.77900000000000003</v>
      </c>
      <c r="AV213" s="22">
        <v>0.35701940160000001</v>
      </c>
      <c r="AW213" s="22">
        <v>97.888000000000005</v>
      </c>
      <c r="AX213" s="22">
        <v>74.508499999999998</v>
      </c>
      <c r="AY213" s="22">
        <v>2</v>
      </c>
      <c r="AZ213" s="24">
        <v>58834.45</v>
      </c>
      <c r="BA213" s="24">
        <f t="shared" si="87"/>
        <v>4.7696316979090376</v>
      </c>
      <c r="BB213" s="24">
        <v>24513.116000000002</v>
      </c>
      <c r="BC213" s="24">
        <f t="shared" si="88"/>
        <v>4.3893985203745434</v>
      </c>
      <c r="BD213" s="24">
        <v>34321.333999999995</v>
      </c>
      <c r="BE213" s="23">
        <v>5502.6280000000006</v>
      </c>
      <c r="BF213" s="23">
        <f t="shared" si="97"/>
        <v>461.66885000000048</v>
      </c>
      <c r="BG213" s="23">
        <v>0.2016333622701319</v>
      </c>
      <c r="BH213" s="23">
        <v>8.2926069432816052E-2</v>
      </c>
      <c r="BI213" s="23">
        <v>8.0728867660229173E-2</v>
      </c>
      <c r="BJ213" s="23">
        <v>6.3907912338588016E-2</v>
      </c>
      <c r="BK213" s="23">
        <v>2.7217051796569715E-2</v>
      </c>
      <c r="BL213" s="23">
        <v>4579.2902999999997</v>
      </c>
      <c r="BM213" s="22">
        <v>6592.43</v>
      </c>
      <c r="BN213" s="22">
        <f t="shared" si="98"/>
        <v>94.452800000000025</v>
      </c>
      <c r="BO213" s="22">
        <v>3.8190455270471735</v>
      </c>
      <c r="BP213" s="22">
        <v>0.11205050782322262</v>
      </c>
      <c r="BQ213" s="22">
        <v>5.4459941696261421E-3</v>
      </c>
      <c r="BR213" s="22">
        <v>3.9291073431067663E-3</v>
      </c>
      <c r="BS213" s="22">
        <v>-3009.0680000000002</v>
      </c>
      <c r="BT213" s="22">
        <v>3.4784320021937458</v>
      </c>
      <c r="BU213" s="22">
        <v>4.5347456142058838E-2</v>
      </c>
      <c r="BV213" s="23">
        <v>7221.634</v>
      </c>
      <c r="BW213" s="22">
        <v>17518.227999999999</v>
      </c>
      <c r="BX213" s="22">
        <v>18.068020000000001</v>
      </c>
      <c r="BY213" s="22">
        <v>1.2569105626224113</v>
      </c>
      <c r="BZ213" s="25">
        <v>0.38967173848603492</v>
      </c>
      <c r="CA213" s="23">
        <v>2.2976807797772551E-2</v>
      </c>
      <c r="CB213" s="23">
        <v>2.2976807797772549</v>
      </c>
      <c r="CC213" s="23">
        <v>0.3612896913621757</v>
      </c>
      <c r="CD213" s="23">
        <v>4.5930002129747863E-2</v>
      </c>
      <c r="CE213" s="23">
        <v>1.5272311028329417E-2</v>
      </c>
      <c r="CF213" s="23">
        <v>1.3553469661414683</v>
      </c>
      <c r="CG213" s="23">
        <f t="shared" si="89"/>
        <v>0.30405748512602238</v>
      </c>
      <c r="CH213" s="26">
        <v>12.07</v>
      </c>
      <c r="CI213" s="26">
        <v>13.29</v>
      </c>
      <c r="CJ213" s="26">
        <v>1.0817072700973491</v>
      </c>
      <c r="CK213" s="26">
        <v>1.1235249809427319</v>
      </c>
      <c r="CL213" s="26">
        <v>-9.1798344620014974E-2</v>
      </c>
      <c r="CM213" s="27">
        <v>13.248115384615385</v>
      </c>
      <c r="CN213" s="27">
        <v>-0.17355622376619531</v>
      </c>
      <c r="CQ213" s="27">
        <v>81.715444015443992</v>
      </c>
      <c r="CR213" s="27">
        <v>-0.1995865157206041</v>
      </c>
      <c r="CS213" s="27">
        <v>0.91873076923076902</v>
      </c>
      <c r="CT213" s="27">
        <v>0.9859003831417622</v>
      </c>
      <c r="CU213" s="27">
        <v>-6.8130223965370842E-2</v>
      </c>
      <c r="CV213" s="27">
        <v>1.0315769230769232</v>
      </c>
      <c r="CW213" s="27">
        <v>2.0135016181765906</v>
      </c>
      <c r="CX213" s="36">
        <v>0.94</v>
      </c>
      <c r="CY213" s="28">
        <v>1.07</v>
      </c>
      <c r="CZ213" s="29">
        <v>14.03142308</v>
      </c>
      <c r="DA213" s="27">
        <v>-0.25705803776615366</v>
      </c>
      <c r="DD213" s="27">
        <v>1</v>
      </c>
      <c r="DF213" s="27">
        <v>93.5</v>
      </c>
      <c r="DG213" s="28">
        <v>4.5379614362946414</v>
      </c>
      <c r="DH213" s="28">
        <v>0.96408899999999997</v>
      </c>
      <c r="DI213" s="27">
        <v>1.7</v>
      </c>
      <c r="DJ213" s="27">
        <v>1.4</v>
      </c>
      <c r="DK213" s="27">
        <v>1.5</v>
      </c>
      <c r="DL213" s="27">
        <v>2.5206847372050912E-2</v>
      </c>
      <c r="DM213" s="28">
        <v>1.3178000000000001</v>
      </c>
      <c r="DN213" s="28">
        <v>1.1366000000000001</v>
      </c>
      <c r="DO213" s="28">
        <v>-8.0718214170171373E-2</v>
      </c>
      <c r="DP213" s="28">
        <v>0.15942284004926977</v>
      </c>
      <c r="DQ213" s="27">
        <v>0.17920000000000003</v>
      </c>
      <c r="DR213" s="27">
        <v>5.0715858000000003E-2</v>
      </c>
      <c r="DS213" s="27">
        <v>4.4794707066032217E-2</v>
      </c>
      <c r="DT213" s="27">
        <v>3.3060002783176973E-2</v>
      </c>
      <c r="DU213" s="30">
        <v>5.0767810000000004</v>
      </c>
      <c r="DV213">
        <v>-0.3</v>
      </c>
      <c r="DW213">
        <v>0.7</v>
      </c>
      <c r="DX213">
        <v>90.9</v>
      </c>
      <c r="DY213">
        <v>87.4</v>
      </c>
      <c r="DZ213">
        <v>1.6</v>
      </c>
      <c r="EA213">
        <v>1</v>
      </c>
      <c r="EB213">
        <v>2.1595819999999999</v>
      </c>
    </row>
    <row r="214" spans="1:132" ht="18">
      <c r="A214" s="14" t="s">
        <v>169</v>
      </c>
      <c r="B214" s="14">
        <v>5</v>
      </c>
      <c r="C214" s="14" t="s">
        <v>133</v>
      </c>
      <c r="D214" s="14" t="s">
        <v>134</v>
      </c>
      <c r="E214" s="14" t="s">
        <v>170</v>
      </c>
      <c r="F214" s="15">
        <v>8227</v>
      </c>
      <c r="G214" s="15">
        <v>3.9152414973061944</v>
      </c>
      <c r="I214" s="15"/>
      <c r="L214" s="17">
        <v>0.1290710031009438</v>
      </c>
      <c r="M214" s="18">
        <v>130</v>
      </c>
      <c r="N214" s="18">
        <v>117</v>
      </c>
      <c r="O214" s="18">
        <v>0.96571062329754842</v>
      </c>
      <c r="P214" s="18">
        <v>3</v>
      </c>
      <c r="Q214" s="18">
        <f t="shared" si="96"/>
        <v>3.3333333333333335</v>
      </c>
      <c r="R214" s="18">
        <v>130</v>
      </c>
      <c r="S214" s="18">
        <v>5</v>
      </c>
      <c r="T214" s="19">
        <v>29254.522499999999</v>
      </c>
      <c r="U214" s="19">
        <v>4.4661930138359862</v>
      </c>
      <c r="V214" s="18">
        <v>170130</v>
      </c>
      <c r="W214" s="20">
        <v>5.2307809020056615</v>
      </c>
      <c r="X214" s="20">
        <v>0.64200000000000002</v>
      </c>
      <c r="Y214" s="20">
        <v>0.6421444664</v>
      </c>
      <c r="Z214" s="20">
        <f t="shared" si="86"/>
        <v>-0.19236725557251769</v>
      </c>
      <c r="AA214" s="20">
        <v>0.68465019140000005</v>
      </c>
      <c r="AB214" s="20">
        <v>1072.5092999999999</v>
      </c>
      <c r="AC214" s="20"/>
      <c r="AD214" s="21">
        <v>3369.6702</v>
      </c>
      <c r="AE214" s="21">
        <f t="shared" si="94"/>
        <v>5.2865772800942977E-2</v>
      </c>
      <c r="AF214" s="21">
        <f t="shared" si="95"/>
        <v>3.527587397212852</v>
      </c>
      <c r="AG214" s="22">
        <v>1.70325622513629E-2</v>
      </c>
      <c r="AH214" s="22">
        <v>1734</v>
      </c>
      <c r="AI214" s="22">
        <v>3.1255314589999998</v>
      </c>
      <c r="AJ214" s="23">
        <v>265000</v>
      </c>
      <c r="AK214" s="23">
        <f t="shared" si="93"/>
        <v>5.4232458739368079</v>
      </c>
      <c r="AL214" s="24">
        <v>0.47456783600000002</v>
      </c>
      <c r="AM214" s="22">
        <v>48957</v>
      </c>
      <c r="AN214" s="22">
        <v>0.48088993664358332</v>
      </c>
      <c r="AO214" s="23">
        <v>0.10003250116801071</v>
      </c>
      <c r="AP214" s="33">
        <v>1.9736066E-2</v>
      </c>
      <c r="AQ214" s="23">
        <v>0.29526058882196532</v>
      </c>
      <c r="AR214" s="23">
        <v>63740.110500000003</v>
      </c>
      <c r="AS214" s="23">
        <v>4.8044128120322647</v>
      </c>
      <c r="AT214" s="23">
        <v>4.8218790727480965</v>
      </c>
      <c r="AU214" s="22">
        <v>0.66300000000000003</v>
      </c>
      <c r="AV214" s="22">
        <v>0.26592190049999997</v>
      </c>
      <c r="AW214" s="22">
        <v>103.41800000000001</v>
      </c>
      <c r="AX214" s="22">
        <v>97.888000000000005</v>
      </c>
      <c r="AY214" s="22">
        <v>3</v>
      </c>
      <c r="AZ214" s="24">
        <v>61644.553800000002</v>
      </c>
      <c r="BA214" s="24">
        <f t="shared" si="87"/>
        <v>4.7898947133877519</v>
      </c>
      <c r="BB214" s="24">
        <v>25490.409299999999</v>
      </c>
      <c r="BC214" s="24">
        <f t="shared" si="88"/>
        <v>4.4063768090002329</v>
      </c>
      <c r="BD214" s="24">
        <v>36154.144500000002</v>
      </c>
      <c r="BE214" s="23">
        <v>6166.4588999999996</v>
      </c>
      <c r="BF214" s="23">
        <f t="shared" si="97"/>
        <v>331.91544999999951</v>
      </c>
      <c r="BG214" s="23">
        <v>0.12063888382060335</v>
      </c>
      <c r="BH214" s="23">
        <v>9.6743774863710025E-2</v>
      </c>
      <c r="BI214" s="23">
        <v>8.2926069432816052E-2</v>
      </c>
      <c r="BJ214" s="23">
        <v>6.3907912338588016E-2</v>
      </c>
      <c r="BK214" s="23">
        <v>0.16662679812756132</v>
      </c>
      <c r="BL214" s="23">
        <v>5502.6280000000006</v>
      </c>
      <c r="BM214" s="22">
        <v>7310.3436000000002</v>
      </c>
      <c r="BN214" s="22">
        <f t="shared" si="98"/>
        <v>358.95679999999993</v>
      </c>
      <c r="BO214" s="22">
        <v>3.8639377901010934</v>
      </c>
      <c r="BP214" s="22">
        <v>0.11858863677913425</v>
      </c>
      <c r="BQ214" s="22">
        <v>3.2690644779558159E-3</v>
      </c>
      <c r="BR214" s="22">
        <v>5.4459941696261421E-3</v>
      </c>
      <c r="BS214" s="22">
        <v>-6586.5720000000001</v>
      </c>
      <c r="BT214" s="22">
        <v>3.8186594436028369</v>
      </c>
      <c r="BU214" s="22">
        <v>0.10333480673837238</v>
      </c>
      <c r="BV214" s="23">
        <v>6605.3549999999996</v>
      </c>
      <c r="BW214" s="22">
        <v>14053.4406</v>
      </c>
      <c r="BX214" s="22">
        <v>20.063526</v>
      </c>
      <c r="BY214" s="22">
        <v>1.3024072590820386</v>
      </c>
      <c r="BZ214" s="25">
        <v>0.11044408850554731</v>
      </c>
      <c r="CA214" s="23">
        <v>1.5272311028329417E-2</v>
      </c>
      <c r="CB214" s="23">
        <v>1.5272311028329417</v>
      </c>
      <c r="CC214" s="23">
        <v>0.18390476010219675</v>
      </c>
      <c r="CD214" s="23">
        <v>2.2976807797772551E-2</v>
      </c>
      <c r="CE214" s="23">
        <v>1.7381252568432232E-2</v>
      </c>
      <c r="CF214" s="23">
        <v>1.2656338028169014</v>
      </c>
      <c r="CG214" s="23">
        <f t="shared" si="89"/>
        <v>0.23557302660069848</v>
      </c>
      <c r="CH214" s="26">
        <v>11.56</v>
      </c>
      <c r="CI214" s="26">
        <v>12.07</v>
      </c>
      <c r="CJ214" s="26">
        <v>1.0629578340845103</v>
      </c>
      <c r="CK214" s="26">
        <v>1.0817072700973491</v>
      </c>
      <c r="CL214" s="26">
        <v>-4.2253521126760542E-2</v>
      </c>
      <c r="CM214" s="27">
        <v>13.296884615384608</v>
      </c>
      <c r="CN214" s="27">
        <v>3.681220260646025E-3</v>
      </c>
      <c r="CQ214" s="27">
        <v>67.989575289575299</v>
      </c>
      <c r="CR214" s="27">
        <v>-0.167971536975</v>
      </c>
      <c r="CS214" s="27">
        <v>0.84238461538461584</v>
      </c>
      <c r="CT214" s="27">
        <v>0.91873076923076902</v>
      </c>
      <c r="CU214" s="27">
        <v>-8.3099593921379125E-2</v>
      </c>
      <c r="CV214" s="27">
        <v>0.92230769230769172</v>
      </c>
      <c r="CW214" s="27">
        <v>1.9648758307920116</v>
      </c>
      <c r="CX214" s="36">
        <v>0.56000000000000005</v>
      </c>
      <c r="CY214" s="28">
        <v>0.94</v>
      </c>
      <c r="CZ214" s="29">
        <v>16.52657692</v>
      </c>
      <c r="DA214" s="27">
        <v>0.17782614249273998</v>
      </c>
      <c r="DD214" s="27">
        <v>1</v>
      </c>
      <c r="DF214" s="27">
        <v>95.3</v>
      </c>
      <c r="DG214" s="28">
        <v>4.5570298106601568</v>
      </c>
      <c r="DH214" s="28">
        <v>0.97015300000000004</v>
      </c>
      <c r="DI214" s="27">
        <v>1.7</v>
      </c>
      <c r="DJ214" s="27">
        <v>0.5</v>
      </c>
      <c r="DK214" s="27">
        <v>1.8</v>
      </c>
      <c r="DL214" s="27">
        <v>4.3522882118483493E-2</v>
      </c>
      <c r="DM214" s="28">
        <v>1.2209000000000001</v>
      </c>
      <c r="DN214" s="28">
        <v>1.3178000000000001</v>
      </c>
      <c r="DO214" s="28">
        <v>0.15942284004926977</v>
      </c>
      <c r="DP214" s="28">
        <v>-7.3531643648505063E-2</v>
      </c>
      <c r="DQ214" s="27">
        <v>0.12960000000000016</v>
      </c>
      <c r="DR214" s="27">
        <v>3.3060002999999998E-2</v>
      </c>
      <c r="DS214" s="27">
        <v>5.0715858244880299E-2</v>
      </c>
      <c r="DT214" s="27">
        <v>3.7342075762805009E-2</v>
      </c>
      <c r="DU214" s="30">
        <v>4.6174650000000002</v>
      </c>
      <c r="DV214">
        <v>-0.5</v>
      </c>
      <c r="DW214">
        <v>-0.4</v>
      </c>
      <c r="DX214">
        <v>93.7</v>
      </c>
      <c r="DY214">
        <v>89.8</v>
      </c>
      <c r="DZ214">
        <v>1.6</v>
      </c>
      <c r="EA214">
        <v>1.7</v>
      </c>
      <c r="EB214">
        <v>2.2385109999999999</v>
      </c>
    </row>
    <row r="215" spans="1:132" ht="18">
      <c r="A215" s="14" t="s">
        <v>169</v>
      </c>
      <c r="B215" s="14">
        <v>6</v>
      </c>
      <c r="C215" s="14" t="s">
        <v>133</v>
      </c>
      <c r="D215" s="14" t="s">
        <v>134</v>
      </c>
      <c r="E215" s="14" t="s">
        <v>170</v>
      </c>
      <c r="F215" s="15">
        <v>16184</v>
      </c>
      <c r="G215" s="15">
        <v>4.209085869762748</v>
      </c>
      <c r="I215" s="15"/>
      <c r="L215" s="17">
        <v>0.23280790910955973</v>
      </c>
      <c r="M215" s="18">
        <v>130</v>
      </c>
      <c r="N215" s="18">
        <v>117</v>
      </c>
      <c r="O215" s="18">
        <v>0.96571062329754842</v>
      </c>
      <c r="P215" s="18">
        <v>3</v>
      </c>
      <c r="Q215" s="18">
        <f t="shared" si="96"/>
        <v>3.3333333333333335</v>
      </c>
      <c r="R215" s="18">
        <v>130</v>
      </c>
      <c r="S215" s="18">
        <v>5</v>
      </c>
      <c r="T215" s="19">
        <v>29812.429800000002</v>
      </c>
      <c r="U215" s="19">
        <v>4.4743973737423941</v>
      </c>
      <c r="V215" s="18">
        <v>180780</v>
      </c>
      <c r="W215" s="20">
        <v>5.2571503820570005</v>
      </c>
      <c r="X215" s="20">
        <v>0.65500000000000003</v>
      </c>
      <c r="Y215" s="20">
        <v>0.66412933159999998</v>
      </c>
      <c r="Z215" s="20">
        <f t="shared" si="86"/>
        <v>-0.17774733850724986</v>
      </c>
      <c r="AA215" s="20">
        <v>0.70941807040000004</v>
      </c>
      <c r="AB215" s="20">
        <v>1232.9195999999999</v>
      </c>
      <c r="AC215" s="20"/>
      <c r="AD215" s="21">
        <v>3677.6678000000002</v>
      </c>
      <c r="AE215" s="21">
        <f t="shared" si="94"/>
        <v>5.290349424848953E-2</v>
      </c>
      <c r="AF215" s="21">
        <f t="shared" si="95"/>
        <v>3.5655724972939313</v>
      </c>
      <c r="AG215" s="22">
        <v>1.6253326514159897E-2</v>
      </c>
      <c r="AH215" s="22">
        <v>1875</v>
      </c>
      <c r="AI215" s="22">
        <v>3.5499102499999999</v>
      </c>
      <c r="AJ215" s="23">
        <v>276000</v>
      </c>
      <c r="AK215" s="23">
        <f t="shared" si="93"/>
        <v>5.4409090820652173</v>
      </c>
      <c r="AL215" s="24">
        <v>0.45999144600000003</v>
      </c>
      <c r="AM215" s="22">
        <v>60585</v>
      </c>
      <c r="AN215" s="22">
        <v>0.52517748632553463</v>
      </c>
      <c r="AO215" s="23">
        <v>0.10582787860755727</v>
      </c>
      <c r="AP215" s="33">
        <v>2.5736539999999999E-2</v>
      </c>
      <c r="AQ215" s="23">
        <v>0.41055016028744346</v>
      </c>
      <c r="AR215" s="23">
        <v>69516.5386</v>
      </c>
      <c r="AS215" s="23">
        <v>4.8420881393850186</v>
      </c>
      <c r="AT215" s="23">
        <v>4.8044128120322647</v>
      </c>
      <c r="AU215" s="22">
        <v>0.81899999999999995</v>
      </c>
      <c r="AV215" s="22">
        <v>0.33740583470000002</v>
      </c>
      <c r="AW215" s="22">
        <v>117.1755</v>
      </c>
      <c r="AX215" s="22">
        <v>103.41800000000001</v>
      </c>
      <c r="AY215" s="22">
        <v>3</v>
      </c>
      <c r="AZ215" s="24">
        <v>64810.835200000001</v>
      </c>
      <c r="BA215" s="24">
        <f t="shared" si="87"/>
        <v>4.811647618126722</v>
      </c>
      <c r="BB215" s="24">
        <v>27139.296200000001</v>
      </c>
      <c r="BC215" s="24">
        <f t="shared" si="88"/>
        <v>4.433598580964853</v>
      </c>
      <c r="BD215" s="24">
        <v>37671.539000000004</v>
      </c>
      <c r="BE215" s="23">
        <v>6858.7932000000001</v>
      </c>
      <c r="BF215" s="23">
        <f t="shared" si="97"/>
        <v>346.16715000000022</v>
      </c>
      <c r="BG215" s="23">
        <v>0.11227420975756451</v>
      </c>
      <c r="BH215" s="23">
        <v>9.8664193271556247E-2</v>
      </c>
      <c r="BI215" s="23">
        <v>9.6743774863710025E-2</v>
      </c>
      <c r="BJ215" s="23">
        <v>6.3907912338588016E-2</v>
      </c>
      <c r="BK215" s="23">
        <v>1.9850563103948084E-2</v>
      </c>
      <c r="BL215" s="23">
        <v>6166.4588999999996</v>
      </c>
      <c r="BM215" s="22">
        <v>8098.3414000000002</v>
      </c>
      <c r="BN215" s="22">
        <f t="shared" si="98"/>
        <v>393.99890000000011</v>
      </c>
      <c r="BO215" s="22">
        <v>3.9083960812754204</v>
      </c>
      <c r="BP215" s="22">
        <v>0.12495351085986314</v>
      </c>
      <c r="BQ215" s="22">
        <v>3.1824370403644442E-3</v>
      </c>
      <c r="BR215" s="22">
        <v>3.2690644779558159E-3</v>
      </c>
      <c r="BS215" s="22">
        <v>-9492.7577999999994</v>
      </c>
      <c r="BT215" s="22">
        <v>3.9773924003440575</v>
      </c>
      <c r="BU215" s="22">
        <v>0.13655394804136578</v>
      </c>
      <c r="BV215" s="23">
        <v>7144.4255999999996</v>
      </c>
      <c r="BW215" s="22">
        <v>18481.741999999998</v>
      </c>
      <c r="BX215" s="22">
        <v>23.968699999999998</v>
      </c>
      <c r="BY215" s="22">
        <v>1.3796444796683243</v>
      </c>
      <c r="BZ215" s="25">
        <v>0.19464046349579825</v>
      </c>
      <c r="CA215" s="23">
        <v>1.7381252568432232E-2</v>
      </c>
      <c r="CB215" s="23">
        <v>1.7381252568432233</v>
      </c>
      <c r="CC215" s="23">
        <v>0.24008107038404852</v>
      </c>
      <c r="CD215" s="23">
        <v>1.5272311028329417E-2</v>
      </c>
      <c r="CE215" s="23">
        <v>2.7408639231077239E-2</v>
      </c>
      <c r="CF215" s="23">
        <v>1.2977725674091443</v>
      </c>
      <c r="CG215" s="23">
        <f t="shared" si="89"/>
        <v>0.2606493852169578</v>
      </c>
      <c r="CH215" s="26">
        <v>22.5</v>
      </c>
      <c r="CI215" s="26">
        <v>11.56</v>
      </c>
      <c r="CJ215" s="26">
        <v>1.3521825181113625</v>
      </c>
      <c r="CK215" s="26">
        <v>1.0629578340845103</v>
      </c>
      <c r="CL215" s="26">
        <v>0.94636678200692037</v>
      </c>
      <c r="CM215" s="27">
        <v>18.34360153256705</v>
      </c>
      <c r="CN215" s="27">
        <v>0.37954130333231201</v>
      </c>
      <c r="CQ215" s="27">
        <v>77.833846153846167</v>
      </c>
      <c r="CR215" s="27">
        <v>0.14479088628430173</v>
      </c>
      <c r="CS215" s="27">
        <v>0.72605363984674265</v>
      </c>
      <c r="CT215" s="27">
        <v>0.84238461538461584</v>
      </c>
      <c r="CU215" s="27">
        <v>-0.13809722235342442</v>
      </c>
      <c r="CV215" s="27">
        <v>0.78180076628352502</v>
      </c>
      <c r="CW215" s="27">
        <v>1.8930960917710087</v>
      </c>
      <c r="CX215" s="36">
        <v>0.88</v>
      </c>
      <c r="CY215" s="28">
        <v>0.56000000000000005</v>
      </c>
      <c r="CZ215" s="29">
        <v>19.614636019999999</v>
      </c>
      <c r="DA215" s="27">
        <v>0.18685412683753744</v>
      </c>
      <c r="DD215" s="27">
        <v>1</v>
      </c>
      <c r="DF215" s="27">
        <v>97.4</v>
      </c>
      <c r="DG215" s="28">
        <v>4.5788262106484892</v>
      </c>
      <c r="DH215" s="28">
        <v>0.97602500000000003</v>
      </c>
      <c r="DI215" s="27">
        <v>1.7</v>
      </c>
      <c r="DJ215" s="27">
        <v>0.6</v>
      </c>
      <c r="DK215" s="27">
        <v>1.8</v>
      </c>
      <c r="DL215" s="27">
        <v>5.0330093261911138E-2</v>
      </c>
      <c r="DM215" s="28">
        <v>1.1319999999999999</v>
      </c>
      <c r="DN215" s="28">
        <v>1.2209000000000001</v>
      </c>
      <c r="DO215" s="28">
        <v>-7.3531643648505063E-2</v>
      </c>
      <c r="DP215" s="28">
        <v>-7.2815136374805634E-2</v>
      </c>
      <c r="DQ215" s="27">
        <v>0.1532</v>
      </c>
      <c r="DR215" s="27">
        <v>3.7342076000000002E-2</v>
      </c>
      <c r="DS215" s="27">
        <v>3.3060002783176973E-2</v>
      </c>
      <c r="DT215" s="27">
        <v>5.8856965773153337E-2</v>
      </c>
      <c r="DU215" s="30">
        <v>4.6191050000000002</v>
      </c>
      <c r="DV215">
        <v>-0.9</v>
      </c>
      <c r="DW215">
        <v>-0.7</v>
      </c>
      <c r="DX215">
        <v>96.2</v>
      </c>
      <c r="DY215">
        <v>92.4</v>
      </c>
      <c r="DZ215">
        <v>2.1</v>
      </c>
      <c r="EA215">
        <v>1.9</v>
      </c>
      <c r="EB215">
        <v>2.1588159999999998</v>
      </c>
    </row>
    <row r="216" spans="1:132" ht="18">
      <c r="A216" s="14" t="s">
        <v>169</v>
      </c>
      <c r="B216" s="14">
        <v>7</v>
      </c>
      <c r="C216" s="14" t="s">
        <v>133</v>
      </c>
      <c r="D216" s="14" t="s">
        <v>134</v>
      </c>
      <c r="E216" s="14" t="s">
        <v>170</v>
      </c>
      <c r="F216" s="15">
        <v>14344</v>
      </c>
      <c r="G216" s="15">
        <v>4.1566702765541264</v>
      </c>
      <c r="I216" s="15"/>
      <c r="L216" s="17">
        <v>0.20795632731554639</v>
      </c>
      <c r="M216" s="18">
        <v>130</v>
      </c>
      <c r="N216" s="18">
        <v>117</v>
      </c>
      <c r="O216" s="18">
        <v>0.96571062329754842</v>
      </c>
      <c r="P216" s="18">
        <v>3</v>
      </c>
      <c r="Q216" s="18">
        <f t="shared" si="96"/>
        <v>3.3333333333333335</v>
      </c>
      <c r="R216" s="18">
        <v>130</v>
      </c>
      <c r="S216" s="18">
        <v>5</v>
      </c>
      <c r="T216" s="19">
        <v>32641.441599999998</v>
      </c>
      <c r="U216" s="19">
        <v>4.5137693309978655</v>
      </c>
      <c r="V216" s="18">
        <v>186780</v>
      </c>
      <c r="W216" s="20">
        <v>5.271330371066159</v>
      </c>
      <c r="X216" s="20">
        <v>0.66</v>
      </c>
      <c r="Y216" s="20">
        <v>0.64467941510000004</v>
      </c>
      <c r="Z216" s="20">
        <f t="shared" si="86"/>
        <v>-0.19065619678316539</v>
      </c>
      <c r="AA216" s="20">
        <v>0.6929215822</v>
      </c>
      <c r="AB216" s="20">
        <v>1296.8517999999999</v>
      </c>
      <c r="AC216" s="20"/>
      <c r="AD216" s="21">
        <v>4080.1801999999998</v>
      </c>
      <c r="AE216" s="21">
        <f t="shared" si="94"/>
        <v>5.9153603539989649E-2</v>
      </c>
      <c r="AF216" s="21">
        <f t="shared" si="95"/>
        <v>3.6106793440059217</v>
      </c>
      <c r="AG216" s="22">
        <v>1.8613190227369014E-2</v>
      </c>
      <c r="AH216" s="22">
        <v>1977</v>
      </c>
      <c r="AI216" s="22">
        <v>2.769719941</v>
      </c>
      <c r="AJ216" s="23">
        <v>283000</v>
      </c>
      <c r="AK216" s="23">
        <f t="shared" si="93"/>
        <v>5.4517864355242907</v>
      </c>
      <c r="AL216" s="24">
        <v>0.45732794700000001</v>
      </c>
      <c r="AM216" s="22">
        <v>51299</v>
      </c>
      <c r="AN216" s="22">
        <v>0.48297321470602078</v>
      </c>
      <c r="AO216" s="23">
        <v>0.17333588091858645</v>
      </c>
      <c r="AP216" s="33">
        <v>4.0435066999999998E-2</v>
      </c>
      <c r="AQ216" s="23">
        <v>0.60675816706345653</v>
      </c>
      <c r="AR216" s="23">
        <v>68976.020999999993</v>
      </c>
      <c r="AS216" s="23">
        <v>4.838698137732365</v>
      </c>
      <c r="AT216" s="23">
        <v>4.8420881393850186</v>
      </c>
      <c r="AU216" s="22">
        <v>0.625</v>
      </c>
      <c r="AV216" s="22">
        <v>0.2569290152</v>
      </c>
      <c r="AW216" s="22">
        <v>98.775000000000006</v>
      </c>
      <c r="AX216" s="22">
        <v>117.1755</v>
      </c>
      <c r="AY216" s="22">
        <v>2</v>
      </c>
      <c r="AZ216" s="24">
        <v>71374.2552</v>
      </c>
      <c r="BA216" s="24">
        <f t="shared" si="87"/>
        <v>4.8535415893559319</v>
      </c>
      <c r="BB216" s="24">
        <v>30741.946599999999</v>
      </c>
      <c r="BC216" s="24">
        <f t="shared" si="88"/>
        <v>4.4877313638427223</v>
      </c>
      <c r="BD216" s="24">
        <v>40632.308600000004</v>
      </c>
      <c r="BE216" s="23">
        <v>12371.7194</v>
      </c>
      <c r="BF216" s="23">
        <f t="shared" si="97"/>
        <v>2756.4630999999968</v>
      </c>
      <c r="BG216" s="23">
        <v>0.80377495562922063</v>
      </c>
      <c r="BH216" s="23">
        <v>0.17936261356682204</v>
      </c>
      <c r="BI216" s="23">
        <v>9.8664193271556247E-2</v>
      </c>
      <c r="BJ216" s="23">
        <v>6.3907912338588016E-2</v>
      </c>
      <c r="BK216" s="23">
        <v>0.81790989840820216</v>
      </c>
      <c r="BL216" s="23">
        <v>6858.7932000000001</v>
      </c>
      <c r="BM216" s="22">
        <v>6989.4921999999997</v>
      </c>
      <c r="BN216" s="22">
        <f t="shared" si="98"/>
        <v>554.42460000000028</v>
      </c>
      <c r="BO216" s="22">
        <v>3.844445624565588</v>
      </c>
      <c r="BP216" s="22">
        <v>9.7927357426211004E-2</v>
      </c>
      <c r="BQ216" s="22">
        <v>1.351307671682608E-2</v>
      </c>
      <c r="BR216" s="22">
        <v>3.1824370403644442E-3</v>
      </c>
      <c r="BS216" s="22">
        <v>3051.5306</v>
      </c>
      <c r="BT216" s="22">
        <v>3.4845177293129344</v>
      </c>
      <c r="BU216" s="22">
        <v>4.4240455679517961E-2</v>
      </c>
      <c r="BV216" s="23">
        <v>7912.9390000000003</v>
      </c>
      <c r="BW216" s="22">
        <v>14109.513800000001</v>
      </c>
      <c r="BX216" s="22">
        <v>22.544732</v>
      </c>
      <c r="BY216" s="22">
        <v>1.3530450770072846</v>
      </c>
      <c r="BZ216" s="25">
        <v>-5.9409479863321693E-2</v>
      </c>
      <c r="CA216" s="23">
        <v>2.7408639231077239E-2</v>
      </c>
      <c r="CB216" s="23">
        <v>2.7408639231077241</v>
      </c>
      <c r="CC216" s="23">
        <v>0.43788747446309406</v>
      </c>
      <c r="CD216" s="23">
        <v>1.7381252568432232E-2</v>
      </c>
      <c r="CE216" s="23">
        <v>2.4634446956745267E-2</v>
      </c>
      <c r="CF216" s="23">
        <v>1.3900578642819568</v>
      </c>
      <c r="CG216" s="23">
        <f t="shared" si="89"/>
        <v>0.32934537525596347</v>
      </c>
      <c r="CH216" s="26">
        <v>40</v>
      </c>
      <c r="CI216" s="26">
        <v>22.5</v>
      </c>
      <c r="CJ216" s="26">
        <v>1.6020599913279623</v>
      </c>
      <c r="CK216" s="26">
        <v>1.3521825181113625</v>
      </c>
      <c r="CL216" s="26">
        <v>0.77777777777777779</v>
      </c>
      <c r="CM216" s="27">
        <v>34.430804597701169</v>
      </c>
      <c r="CN216" s="27">
        <v>0.87699261437690179</v>
      </c>
      <c r="CO216" s="27">
        <v>14.00272</v>
      </c>
      <c r="CQ216" s="27">
        <v>141.16230769230771</v>
      </c>
      <c r="CR216" s="27">
        <v>0.81363654332700808</v>
      </c>
      <c r="CS216" s="27">
        <v>1.4151340996168575</v>
      </c>
      <c r="CT216" s="27">
        <v>0.72605363984674265</v>
      </c>
      <c r="CU216" s="27">
        <v>0.94907651715039654</v>
      </c>
      <c r="CV216" s="27">
        <v>1.549389312977099</v>
      </c>
      <c r="CW216" s="27">
        <v>2.1901605560639821</v>
      </c>
      <c r="CX216" s="36">
        <v>2.34</v>
      </c>
      <c r="CY216" s="28">
        <v>0.88</v>
      </c>
      <c r="CZ216" s="29">
        <v>33.709007630000002</v>
      </c>
      <c r="DA216" s="27">
        <v>0.71856401493398725</v>
      </c>
      <c r="DD216" s="27">
        <v>1</v>
      </c>
      <c r="DF216" s="27">
        <v>99.3</v>
      </c>
      <c r="DG216" s="28">
        <v>4.598145571051127</v>
      </c>
      <c r="DH216" s="28">
        <v>0.98917500000000003</v>
      </c>
      <c r="DI216" s="27">
        <v>1.7</v>
      </c>
      <c r="DJ216" s="27">
        <v>0.9</v>
      </c>
      <c r="DK216" s="27">
        <v>2</v>
      </c>
      <c r="DL216" s="27">
        <v>0.13386559980376234</v>
      </c>
      <c r="DM216" s="28">
        <v>1.0605</v>
      </c>
      <c r="DN216" s="28">
        <v>1.1319999999999999</v>
      </c>
      <c r="DO216" s="28">
        <v>-7.2815136374805634E-2</v>
      </c>
      <c r="DP216" s="28">
        <v>-6.3162544169611229E-2</v>
      </c>
      <c r="DQ216" s="27">
        <v>0.24049999999999994</v>
      </c>
      <c r="DR216" s="27">
        <v>5.8856965999999997E-2</v>
      </c>
      <c r="DS216" s="27">
        <v>3.7342075762805009E-2</v>
      </c>
      <c r="DT216" s="27">
        <v>5.3441576083474149E-2</v>
      </c>
      <c r="DU216" s="30">
        <v>5.7984980000000004</v>
      </c>
      <c r="DV216">
        <v>-1</v>
      </c>
      <c r="DW216">
        <v>0.7</v>
      </c>
      <c r="DX216">
        <v>98</v>
      </c>
      <c r="DY216">
        <v>95</v>
      </c>
      <c r="DZ216">
        <v>1.6</v>
      </c>
      <c r="EA216">
        <v>1.7</v>
      </c>
      <c r="EB216">
        <v>2.0603549999999999</v>
      </c>
    </row>
    <row r="217" spans="1:132" ht="18">
      <c r="A217" s="14" t="s">
        <v>169</v>
      </c>
      <c r="B217" s="14">
        <v>8</v>
      </c>
      <c r="C217" s="14" t="s">
        <v>133</v>
      </c>
      <c r="D217" s="14" t="s">
        <v>134</v>
      </c>
      <c r="E217" s="14" t="s">
        <v>170</v>
      </c>
      <c r="F217" s="15">
        <v>22597</v>
      </c>
      <c r="G217" s="15">
        <v>4.3540507856107666</v>
      </c>
      <c r="I217" s="15"/>
      <c r="L217" s="17">
        <v>0.30613185754936983</v>
      </c>
      <c r="M217" s="18">
        <v>130</v>
      </c>
      <c r="N217" s="18">
        <v>117</v>
      </c>
      <c r="O217" s="18">
        <v>0.96571062329754842</v>
      </c>
      <c r="P217" s="18">
        <v>3</v>
      </c>
      <c r="Q217" s="18">
        <f t="shared" si="96"/>
        <v>3.3333333333333335</v>
      </c>
      <c r="R217" s="18">
        <v>130</v>
      </c>
      <c r="S217" s="18">
        <v>5</v>
      </c>
      <c r="T217" s="19">
        <v>31983.264500000001</v>
      </c>
      <c r="U217" s="19">
        <v>4.5049227896784876</v>
      </c>
      <c r="V217" s="18">
        <v>183867.065</v>
      </c>
      <c r="W217" s="20">
        <v>5.2645039436495296</v>
      </c>
      <c r="X217" s="20">
        <v>0.66139232014388494</v>
      </c>
      <c r="Y217" s="20">
        <v>0.6890927107</v>
      </c>
      <c r="Z217" s="20">
        <f t="shared" si="86"/>
        <v>-0.16172234407676478</v>
      </c>
      <c r="AA217" s="20">
        <v>0.68703828069999995</v>
      </c>
      <c r="AB217" s="20">
        <v>1233.1714999999999</v>
      </c>
      <c r="AC217" s="20">
        <v>31852.826499999999</v>
      </c>
      <c r="AD217" s="21">
        <v>4061.5464999999999</v>
      </c>
      <c r="AE217" s="21">
        <f t="shared" si="94"/>
        <v>5.5023621479317684E-2</v>
      </c>
      <c r="AF217" s="21">
        <f t="shared" si="95"/>
        <v>3.608691429767287</v>
      </c>
      <c r="AG217" s="22">
        <v>1.8139853582891559E-2</v>
      </c>
      <c r="AH217" s="22">
        <v>2012</v>
      </c>
      <c r="AI217" s="22">
        <v>3.2443922359999999</v>
      </c>
      <c r="AJ217" s="23">
        <v>278000</v>
      </c>
      <c r="AK217" s="23">
        <f t="shared" si="93"/>
        <v>5.4440447959180762</v>
      </c>
      <c r="AL217" s="24">
        <v>0.44657027599999999</v>
      </c>
      <c r="AM217" s="22">
        <v>57285</v>
      </c>
      <c r="AN217" s="22">
        <v>0.51647192469977277</v>
      </c>
      <c r="AO217" s="23">
        <v>0.1095820401791522</v>
      </c>
      <c r="AP217" s="33">
        <v>1.4762178000000001E-2</v>
      </c>
      <c r="AQ217" s="23">
        <v>0.169150437676723</v>
      </c>
      <c r="AR217" s="23">
        <v>73814.597999999998</v>
      </c>
      <c r="AS217" s="23">
        <v>4.8681422588949221</v>
      </c>
      <c r="AT217" s="23">
        <v>4.838698137732365</v>
      </c>
      <c r="AU217" s="22">
        <v>0.67900000000000005</v>
      </c>
      <c r="AV217" s="22">
        <v>0.29041714680000003</v>
      </c>
      <c r="AW217" s="22">
        <v>115.797</v>
      </c>
      <c r="AX217" s="22">
        <v>98.775000000000006</v>
      </c>
      <c r="AY217" s="22">
        <v>3</v>
      </c>
      <c r="AZ217" s="24">
        <v>71619.778999999995</v>
      </c>
      <c r="BA217" s="24">
        <f t="shared" si="87"/>
        <v>4.8550329765581992</v>
      </c>
      <c r="BB217" s="24">
        <v>30085.923999999999</v>
      </c>
      <c r="BC217" s="24">
        <f t="shared" si="88"/>
        <v>4.4783633541005354</v>
      </c>
      <c r="BD217" s="24">
        <v>41533.854999999996</v>
      </c>
      <c r="BE217" s="23">
        <v>7848.2415000000001</v>
      </c>
      <c r="BF217" s="23">
        <f t="shared" si="97"/>
        <v>2261.7389500000018</v>
      </c>
      <c r="BG217" s="23">
        <v>-0.36563049595192076</v>
      </c>
      <c r="BH217" s="23">
        <v>0.10632370442497026</v>
      </c>
      <c r="BI217" s="23">
        <v>0.17936261356682204</v>
      </c>
      <c r="BJ217" s="23">
        <v>6.3907912338588016E-2</v>
      </c>
      <c r="BK217" s="23">
        <v>-0.40721367563391875</v>
      </c>
      <c r="BL217" s="23">
        <v>12371.7194</v>
      </c>
      <c r="BM217" s="22">
        <v>11935.076999999999</v>
      </c>
      <c r="BN217" s="22">
        <f t="shared" si="98"/>
        <v>2472.7924000000007</v>
      </c>
      <c r="BO217" s="22">
        <v>4.0768252252336179</v>
      </c>
      <c r="BP217" s="22">
        <v>0.16664498503967737</v>
      </c>
      <c r="BQ217" s="22">
        <v>3.4358813806733272E-2</v>
      </c>
      <c r="BR217" s="22">
        <v>1.351307671682608E-2</v>
      </c>
      <c r="BS217" s="22">
        <v>-3593.0345000000002</v>
      </c>
      <c r="BT217" s="22">
        <v>3.5554613872819365</v>
      </c>
      <c r="BU217" s="22">
        <v>4.8676475891665766E-2</v>
      </c>
      <c r="BV217" s="23">
        <v>11819.28</v>
      </c>
      <c r="BW217" s="22">
        <v>15575.361999999999</v>
      </c>
      <c r="BX217" s="22">
        <v>28.082425000000001</v>
      </c>
      <c r="BY217" s="22">
        <v>1.448434607683031</v>
      </c>
      <c r="BZ217" s="25">
        <v>0.24563135192735938</v>
      </c>
      <c r="CA217" s="23">
        <v>2.4634446956745267E-2</v>
      </c>
      <c r="CB217" s="23">
        <v>2.4634446956745268</v>
      </c>
      <c r="CC217" s="23">
        <v>0.3915428168106509</v>
      </c>
      <c r="CD217" s="23">
        <v>2.7408639231077239E-2</v>
      </c>
      <c r="CE217" s="23">
        <v>3.778225910097175E-2</v>
      </c>
      <c r="CF217" s="23">
        <v>1.4626141552511416</v>
      </c>
      <c r="CG217" s="23">
        <f t="shared" si="89"/>
        <v>0.38022535195032686</v>
      </c>
      <c r="CH217" s="26">
        <v>21.68</v>
      </c>
      <c r="CI217" s="26">
        <v>40</v>
      </c>
      <c r="CJ217" s="26">
        <v>1.3360592778663494</v>
      </c>
      <c r="CK217" s="26">
        <v>1.6020599913279623</v>
      </c>
      <c r="CL217" s="26">
        <v>-0.45800000000000002</v>
      </c>
      <c r="CM217" s="27">
        <v>32.806781609195411</v>
      </c>
      <c r="CN217" s="27">
        <v>-4.7167732717294325E-2</v>
      </c>
      <c r="CO217" s="27">
        <v>14.6873913</v>
      </c>
      <c r="CP217" s="27">
        <v>4.8895593141903844E-2</v>
      </c>
      <c r="CQ217" s="27">
        <v>128.33115384615388</v>
      </c>
      <c r="CR217" s="27">
        <v>-9.0896458522922177E-2</v>
      </c>
      <c r="CS217" s="27">
        <v>1.3546743295019157</v>
      </c>
      <c r="CT217" s="27">
        <v>1.4151340996168575</v>
      </c>
      <c r="CU217" s="27">
        <v>-4.272370380397951E-2</v>
      </c>
      <c r="CV217" s="27">
        <v>1.5608045977011498</v>
      </c>
      <c r="CW217" s="27">
        <v>2.1933485357004661</v>
      </c>
      <c r="CX217" s="36">
        <v>1.03</v>
      </c>
      <c r="CY217" s="28">
        <v>2.34</v>
      </c>
      <c r="CZ217" s="29">
        <v>33.580881230000003</v>
      </c>
      <c r="DA217" s="27">
        <v>-3.8009543741646867E-3</v>
      </c>
      <c r="DD217" s="27">
        <v>1</v>
      </c>
      <c r="DF217" s="27">
        <v>99.7</v>
      </c>
      <c r="DG217" s="28">
        <v>4.6021656769677923</v>
      </c>
      <c r="DH217" s="28">
        <v>0.99782300000000002</v>
      </c>
      <c r="DI217" s="27">
        <v>1.9</v>
      </c>
      <c r="DJ217" s="27">
        <v>1.7</v>
      </c>
      <c r="DK217" s="27">
        <v>2.6</v>
      </c>
      <c r="DL217" s="27">
        <v>5.2639944956221721E-2</v>
      </c>
      <c r="DM217" s="28">
        <v>1.0337000000000001</v>
      </c>
      <c r="DN217" s="28">
        <v>1.0605</v>
      </c>
      <c r="DO217" s="28">
        <v>-6.3162544169611229E-2</v>
      </c>
      <c r="DP217" s="28">
        <v>-2.5271098538425209E-2</v>
      </c>
      <c r="DQ217" s="27">
        <v>0.19020000000000004</v>
      </c>
      <c r="DR217" s="27">
        <v>5.3441575999999998E-2</v>
      </c>
      <c r="DS217" s="27">
        <v>5.8856965773153337E-2</v>
      </c>
      <c r="DT217" s="27">
        <v>5.4750936053662311E-2</v>
      </c>
      <c r="DU217" s="30">
        <v>9.2708490000000001</v>
      </c>
      <c r="DV217">
        <v>2.2000000000000002</v>
      </c>
      <c r="DW217">
        <v>2.6</v>
      </c>
      <c r="DX217">
        <v>98.8</v>
      </c>
      <c r="DY217">
        <v>96.9</v>
      </c>
      <c r="DZ217">
        <v>1.3</v>
      </c>
      <c r="EA217">
        <v>2.5</v>
      </c>
      <c r="EB217">
        <v>1.1868369999999999</v>
      </c>
    </row>
    <row r="218" spans="1:132" ht="18">
      <c r="A218" s="14" t="s">
        <v>169</v>
      </c>
      <c r="B218" s="14">
        <v>9</v>
      </c>
      <c r="C218" s="14" t="s">
        <v>133</v>
      </c>
      <c r="D218" s="14" t="s">
        <v>134</v>
      </c>
      <c r="E218" s="14" t="s">
        <v>170</v>
      </c>
      <c r="F218" s="15">
        <v>17808</v>
      </c>
      <c r="G218" s="15">
        <v>4.2506151469906328</v>
      </c>
      <c r="I218" s="15"/>
      <c r="L218" s="17">
        <v>0.20479046174716517</v>
      </c>
      <c r="M218" s="18">
        <v>130</v>
      </c>
      <c r="N218" s="18">
        <v>117</v>
      </c>
      <c r="O218" s="18">
        <v>0.96571062329754842</v>
      </c>
      <c r="P218" s="18">
        <v>3</v>
      </c>
      <c r="Q218" s="18">
        <f t="shared" si="96"/>
        <v>3.3333333333333335</v>
      </c>
      <c r="R218" s="18">
        <v>130</v>
      </c>
      <c r="S218" s="18">
        <v>5</v>
      </c>
      <c r="T218" s="19">
        <v>40276.919000000002</v>
      </c>
      <c r="U218" s="19">
        <v>4.6050562416115897</v>
      </c>
      <c r="V218" s="18">
        <v>189959.38</v>
      </c>
      <c r="W218" s="20">
        <v>5.2786607434377855</v>
      </c>
      <c r="X218" s="20">
        <v>0.67601202846975095</v>
      </c>
      <c r="Y218" s="20">
        <v>0.73971722370000004</v>
      </c>
      <c r="Z218" s="20">
        <f t="shared" si="86"/>
        <v>-0.13093426899474925</v>
      </c>
      <c r="AA218" s="20">
        <v>0.67841584160000001</v>
      </c>
      <c r="AB218" s="20">
        <v>1532.0962999999999</v>
      </c>
      <c r="AC218" s="20">
        <v>37951.123599999999</v>
      </c>
      <c r="AD218" s="21">
        <v>7031.1302999999998</v>
      </c>
      <c r="AE218" s="21">
        <f t="shared" si="94"/>
        <v>8.0857391101835346E-2</v>
      </c>
      <c r="AF218" s="21">
        <f t="shared" si="95"/>
        <v>3.8470251462992628</v>
      </c>
      <c r="AG218" s="22">
        <v>1.6848648793901883E-2</v>
      </c>
      <c r="AH218" s="22">
        <v>1881</v>
      </c>
      <c r="AI218" s="22">
        <v>2.8435413270000001</v>
      </c>
      <c r="AJ218" s="23">
        <v>281000</v>
      </c>
      <c r="AK218" s="23">
        <f t="shared" si="93"/>
        <v>5.4487063199050798</v>
      </c>
      <c r="AL218" s="24">
        <v>0.47128196700000002</v>
      </c>
      <c r="AM218" s="22">
        <v>49043</v>
      </c>
      <c r="AN218" s="22">
        <v>0.4392920163739128</v>
      </c>
      <c r="AO218" s="23">
        <v>0.32248774174732503</v>
      </c>
      <c r="AP218" s="33">
        <v>5.6655500000000005E-4</v>
      </c>
      <c r="AQ218" s="23">
        <v>-1.2467579233344663</v>
      </c>
      <c r="AR218" s="23">
        <v>86957.174899999998</v>
      </c>
      <c r="AS218" s="23">
        <v>4.9393054217719934</v>
      </c>
      <c r="AT218" s="23">
        <v>4.8681422588949221</v>
      </c>
      <c r="AU218" s="22">
        <v>0.52200000000000002</v>
      </c>
      <c r="AV218" s="22">
        <v>0.2501020799</v>
      </c>
      <c r="AW218" s="22">
        <v>138.64420000000001</v>
      </c>
      <c r="AX218" s="22">
        <v>115.797</v>
      </c>
      <c r="AY218" s="22">
        <v>3</v>
      </c>
      <c r="AZ218" s="24">
        <v>85462.465800000005</v>
      </c>
      <c r="BA218" s="24">
        <f t="shared" si="87"/>
        <v>4.9317754191140413</v>
      </c>
      <c r="BB218" s="24">
        <v>35711.786099999998</v>
      </c>
      <c r="BC218" s="24">
        <f t="shared" si="88"/>
        <v>4.5528115716706852</v>
      </c>
      <c r="BD218" s="24">
        <v>49750.679700000008</v>
      </c>
      <c r="BE218" s="23">
        <v>27560.597600000001</v>
      </c>
      <c r="BF218" s="23">
        <f t="shared" si="97"/>
        <v>9856.1780500000023</v>
      </c>
      <c r="BG218" s="23">
        <v>2.5116908163440179</v>
      </c>
      <c r="BH218" s="23">
        <v>0.31694449171899214</v>
      </c>
      <c r="BI218" s="23">
        <v>0.10632370442497026</v>
      </c>
      <c r="BJ218" s="23">
        <v>6.3907912338588016E-2</v>
      </c>
      <c r="BK218" s="23">
        <v>1.9809391370731562</v>
      </c>
      <c r="BL218" s="23">
        <v>7848.2415000000001</v>
      </c>
      <c r="BM218" s="22">
        <v>10599.271199999999</v>
      </c>
      <c r="BN218" s="22">
        <f t="shared" si="98"/>
        <v>667.90290000000005</v>
      </c>
      <c r="BO218" s="22">
        <v>4.0252760044440326</v>
      </c>
      <c r="BP218" s="22">
        <v>0.12402252966588286</v>
      </c>
      <c r="BQ218" s="22">
        <v>2.1311227686897218E-2</v>
      </c>
      <c r="BR218" s="22">
        <v>3.4358813806733272E-2</v>
      </c>
      <c r="BS218" s="22">
        <v>11332.2161</v>
      </c>
      <c r="BT218" s="22">
        <v>4.0543148477176798</v>
      </c>
      <c r="BU218" s="22">
        <v>0.13031950627457653</v>
      </c>
      <c r="BV218" s="23">
        <v>8769.6350999999995</v>
      </c>
      <c r="BW218" s="22">
        <v>15655.89</v>
      </c>
      <c r="BX218" s="22">
        <v>37.830629999999999</v>
      </c>
      <c r="BY218" s="22">
        <v>1.5778435737338063</v>
      </c>
      <c r="BZ218" s="25">
        <v>0.34712831958066293</v>
      </c>
      <c r="CA218" s="23">
        <v>3.778225910097175E-2</v>
      </c>
      <c r="CB218" s="23">
        <v>3.7782259100971749</v>
      </c>
      <c r="CC218" s="23">
        <v>0.57728792197527423</v>
      </c>
      <c r="CD218" s="23">
        <v>2.4634446956745267E-2</v>
      </c>
      <c r="CE218" s="23">
        <v>1.2503539966201195E-2</v>
      </c>
      <c r="CF218" s="23">
        <v>1.1809879618098795</v>
      </c>
      <c r="CG218" s="23">
        <f t="shared" si="89"/>
        <v>0.16635134394555987</v>
      </c>
      <c r="CH218" s="26">
        <v>17.75</v>
      </c>
      <c r="CI218" s="26">
        <v>21.68</v>
      </c>
      <c r="CJ218" s="26">
        <v>1.249198357391113</v>
      </c>
      <c r="CK218" s="26">
        <v>1.3360592778663494</v>
      </c>
      <c r="CL218" s="26">
        <v>-0.18127306273062729</v>
      </c>
      <c r="CM218" s="27">
        <v>23.674061302682002</v>
      </c>
      <c r="CN218" s="27">
        <v>-0.27837903806917774</v>
      </c>
      <c r="CO218" s="27">
        <v>13.17284585</v>
      </c>
      <c r="CP218" s="27">
        <v>-0.10311875125162628</v>
      </c>
      <c r="CQ218" s="27">
        <v>93.814615384615436</v>
      </c>
      <c r="CR218" s="27">
        <v>-0.26896460779054171</v>
      </c>
      <c r="CS218" s="27">
        <v>1.0575095785440605</v>
      </c>
      <c r="CT218" s="27">
        <v>1.3546743295019157</v>
      </c>
      <c r="CU218" s="27">
        <v>-0.21936250247475808</v>
      </c>
      <c r="CV218" s="27">
        <v>1.2699233716475098</v>
      </c>
      <c r="CW218" s="27">
        <v>2.1037775160152683</v>
      </c>
      <c r="CX218" s="36">
        <v>0.92</v>
      </c>
      <c r="CY218" s="28">
        <v>1.03</v>
      </c>
      <c r="CZ218" s="29">
        <v>26.404674329999999</v>
      </c>
      <c r="DA218" s="27">
        <v>-0.21369918349816944</v>
      </c>
      <c r="DD218" s="27">
        <v>1</v>
      </c>
      <c r="DF218" s="27">
        <v>100</v>
      </c>
      <c r="DG218" s="28">
        <v>4.6051701859880918</v>
      </c>
      <c r="DH218" s="28">
        <v>1</v>
      </c>
      <c r="DI218" s="27">
        <v>1.7</v>
      </c>
      <c r="DJ218" s="27">
        <v>1.4</v>
      </c>
      <c r="DK218" s="27">
        <v>2.5</v>
      </c>
      <c r="DL218" s="27">
        <v>5.6333518516911207E-2</v>
      </c>
      <c r="DM218" s="28">
        <v>0.93169999999999997</v>
      </c>
      <c r="DN218" s="28">
        <v>1.0337000000000001</v>
      </c>
      <c r="DO218" s="28">
        <v>-2.5271098538425209E-2</v>
      </c>
      <c r="DP218" s="28">
        <v>-9.8674663828964004E-2</v>
      </c>
      <c r="DQ218" s="27">
        <v>0.22999999999999998</v>
      </c>
      <c r="DR218" s="27">
        <v>5.4750936E-2</v>
      </c>
      <c r="DS218" s="27">
        <v>5.3441576083474149E-2</v>
      </c>
      <c r="DT218" s="27">
        <v>5.3458259584010771E-2</v>
      </c>
      <c r="DU218" s="30">
        <v>9.6228090000000002</v>
      </c>
      <c r="DV218">
        <v>2.7</v>
      </c>
      <c r="DW218">
        <v>2.9</v>
      </c>
      <c r="DX218">
        <v>100</v>
      </c>
      <c r="DY218">
        <v>100</v>
      </c>
      <c r="DZ218">
        <v>0.2</v>
      </c>
      <c r="EA218">
        <v>2</v>
      </c>
      <c r="EB218">
        <v>1.2855829999999999</v>
      </c>
    </row>
    <row r="219" spans="1:132" ht="18">
      <c r="A219" s="14" t="s">
        <v>169</v>
      </c>
      <c r="B219" s="14">
        <v>10</v>
      </c>
      <c r="C219" s="14" t="s">
        <v>133</v>
      </c>
      <c r="D219" s="14" t="s">
        <v>134</v>
      </c>
      <c r="E219" s="14" t="s">
        <v>170</v>
      </c>
      <c r="F219" s="15">
        <v>17163</v>
      </c>
      <c r="G219" s="15">
        <v>4.2345932024853301</v>
      </c>
      <c r="I219" s="15"/>
      <c r="L219" s="17">
        <v>0.18473848637619536</v>
      </c>
      <c r="M219" s="18">
        <v>130</v>
      </c>
      <c r="N219" s="18">
        <v>117</v>
      </c>
      <c r="O219" s="18">
        <v>0.96571062329754842</v>
      </c>
      <c r="P219" s="18">
        <v>3</v>
      </c>
      <c r="Q219" s="18">
        <f t="shared" si="96"/>
        <v>3.3333333333333335</v>
      </c>
      <c r="R219" s="18">
        <v>130</v>
      </c>
      <c r="S219" s="18">
        <v>5</v>
      </c>
      <c r="T219" s="19">
        <v>34238.872100000001</v>
      </c>
      <c r="U219" s="19">
        <v>4.5345194496729242</v>
      </c>
      <c r="V219" s="18">
        <v>233208</v>
      </c>
      <c r="W219" s="20">
        <v>5.3677434444414454</v>
      </c>
      <c r="X219" s="20">
        <v>0.71099999999999997</v>
      </c>
      <c r="Y219" s="20">
        <v>0.76137301850000005</v>
      </c>
      <c r="Z219" s="20">
        <f t="shared" si="86"/>
        <v>-0.11840251775568164</v>
      </c>
      <c r="AA219" s="20">
        <v>0.64593513989999995</v>
      </c>
      <c r="AB219" s="20">
        <v>1827.2891999999999</v>
      </c>
      <c r="AC219" s="20">
        <v>44663.540699999998</v>
      </c>
      <c r="AD219" s="21">
        <v>6041.2916999999998</v>
      </c>
      <c r="AE219" s="21">
        <f t="shared" si="94"/>
        <v>6.5027039819091775E-2</v>
      </c>
      <c r="AF219" s="21">
        <f t="shared" si="95"/>
        <v>3.781129805873797</v>
      </c>
      <c r="AG219" s="22">
        <v>1.2472500021912332E-2</v>
      </c>
      <c r="AH219" s="22">
        <v>1423</v>
      </c>
      <c r="AI219" s="22">
        <v>2.9344132890000001</v>
      </c>
      <c r="AJ219" s="23">
        <v>328000</v>
      </c>
      <c r="AK219" s="23">
        <f t="shared" si="93"/>
        <v>5.5158738437116792</v>
      </c>
      <c r="AL219" s="24">
        <v>0.50270199199999999</v>
      </c>
      <c r="AM219" s="22">
        <v>55817</v>
      </c>
      <c r="AN219" s="22">
        <v>0.48923227949619164</v>
      </c>
      <c r="AO219" s="23">
        <v>0.11721383993687381</v>
      </c>
      <c r="AP219" s="33">
        <v>2.2544279E-2</v>
      </c>
      <c r="AQ219" s="23">
        <v>0.35303635047299414</v>
      </c>
      <c r="AR219" s="23">
        <v>92904.301300000006</v>
      </c>
      <c r="AS219" s="23">
        <v>4.9680358215029115</v>
      </c>
      <c r="AT219" s="23">
        <v>4.9393054217719934</v>
      </c>
      <c r="AU219" s="22">
        <v>0.61599999999999999</v>
      </c>
      <c r="AV219" s="22">
        <v>0.31171002679999998</v>
      </c>
      <c r="AW219" s="22">
        <v>139.24529999999999</v>
      </c>
      <c r="AX219" s="22">
        <v>138.64420000000001</v>
      </c>
      <c r="AY219" s="22">
        <v>3</v>
      </c>
      <c r="AZ219" s="24">
        <v>68109.680600000007</v>
      </c>
      <c r="BA219" s="24">
        <f t="shared" si="87"/>
        <v>4.8332088436656253</v>
      </c>
      <c r="BB219" s="24">
        <v>35932.616099999999</v>
      </c>
      <c r="BC219" s="24">
        <f t="shared" si="88"/>
        <v>4.5554888374783404</v>
      </c>
      <c r="BD219" s="24">
        <v>32177.064500000008</v>
      </c>
      <c r="BE219" s="23">
        <v>7983.3972000000003</v>
      </c>
      <c r="BF219" s="23">
        <f t="shared" si="97"/>
        <v>9788.6002000000008</v>
      </c>
      <c r="BG219" s="23">
        <v>-0.7103329428531695</v>
      </c>
      <c r="BH219" s="23">
        <v>8.5931405632346108E-2</v>
      </c>
      <c r="BI219" s="23">
        <v>0.31694449171899214</v>
      </c>
      <c r="BJ219" s="23">
        <v>6.3907912338588016E-2</v>
      </c>
      <c r="BK219" s="23">
        <v>-0.72887553537755057</v>
      </c>
      <c r="BL219" s="23">
        <v>27560.597600000001</v>
      </c>
      <c r="BM219" s="22">
        <v>8289.5740000000005</v>
      </c>
      <c r="BN219" s="22">
        <f t="shared" si="98"/>
        <v>1154.848600000003</v>
      </c>
      <c r="BO219" s="22">
        <v>3.9185322127935773</v>
      </c>
      <c r="BP219" s="22">
        <v>0.12170918916333899</v>
      </c>
      <c r="BQ219" s="22">
        <v>1.1566702512719323E-3</v>
      </c>
      <c r="BR219" s="22">
        <v>2.1311227686897218E-2</v>
      </c>
      <c r="BS219" s="22">
        <v>-3670.8643999999999</v>
      </c>
      <c r="BT219" s="22">
        <v>3.5647683421669059</v>
      </c>
      <c r="BU219" s="22">
        <v>3.9512319113689943E-2</v>
      </c>
      <c r="BV219" s="23">
        <v>10844.847400000001</v>
      </c>
      <c r="BW219" s="22">
        <v>18164.590100000001</v>
      </c>
      <c r="BX219" s="22">
        <v>36.774424000000003</v>
      </c>
      <c r="BY219" s="22">
        <v>1.5655458790724257</v>
      </c>
      <c r="BZ219" s="25">
        <v>-2.7919334148016992E-2</v>
      </c>
      <c r="CA219" s="23">
        <v>1.2503539966201195E-2</v>
      </c>
      <c r="CB219" s="23">
        <v>1.2503539966201194</v>
      </c>
      <c r="CC219" s="23">
        <v>9.7032986618965325E-2</v>
      </c>
      <c r="CD219" s="23">
        <v>3.778225910097175E-2</v>
      </c>
      <c r="CE219" s="23">
        <v>5.2921441202473654E-3</v>
      </c>
      <c r="CF219" s="23">
        <v>1.2747126436781611</v>
      </c>
      <c r="CG219" s="23">
        <f t="shared" si="89"/>
        <v>0.24272077570173775</v>
      </c>
      <c r="CH219" s="26">
        <v>23.4</v>
      </c>
      <c r="CI219" s="26">
        <v>17.75</v>
      </c>
      <c r="CJ219" s="26">
        <v>1.3692158574101427</v>
      </c>
      <c r="CK219" s="26">
        <v>1.249198357391113</v>
      </c>
      <c r="CL219" s="26">
        <v>0.31830985915492949</v>
      </c>
      <c r="CM219" s="27">
        <v>25.275999999999993</v>
      </c>
      <c r="CN219" s="27">
        <v>6.7666408261623831E-2</v>
      </c>
      <c r="CO219" s="27">
        <v>14.39393443</v>
      </c>
      <c r="CP219" s="27">
        <v>9.2697401450272041E-2</v>
      </c>
      <c r="CQ219" s="27">
        <v>94.493822393822356</v>
      </c>
      <c r="CR219" s="27">
        <v>7.2398848134946573E-3</v>
      </c>
      <c r="CS219" s="27">
        <v>1.0720384615384604</v>
      </c>
      <c r="CT219" s="27">
        <v>1.0575095785440605</v>
      </c>
      <c r="CU219" s="27">
        <v>1.37387720065881E-2</v>
      </c>
      <c r="CV219" s="27">
        <v>1.268846153846154</v>
      </c>
      <c r="CW219" s="27">
        <v>2.1034089675745258</v>
      </c>
      <c r="CX219" s="36">
        <v>0.92</v>
      </c>
      <c r="CY219" s="28">
        <v>0.92</v>
      </c>
      <c r="CZ219" s="29">
        <v>29.99596154</v>
      </c>
      <c r="DA219" s="27">
        <v>0.13600952487112158</v>
      </c>
      <c r="DD219" s="27">
        <v>1</v>
      </c>
      <c r="DF219" s="27">
        <v>100.2</v>
      </c>
      <c r="DG219" s="28">
        <v>4.6071681886507641</v>
      </c>
      <c r="DH219" s="28">
        <v>0.998919</v>
      </c>
      <c r="DI219" s="27">
        <v>1.7</v>
      </c>
      <c r="DK219" s="27">
        <v>2.7</v>
      </c>
      <c r="DL219" s="27">
        <v>7.6034318820263902E-2</v>
      </c>
      <c r="DM219" s="28">
        <v>0.93479999999999996</v>
      </c>
      <c r="DN219" s="28">
        <v>0.93169999999999997</v>
      </c>
      <c r="DO219" s="28">
        <v>-9.8674663828964004E-2</v>
      </c>
      <c r="DP219" s="28">
        <v>3.3272512611355496E-3</v>
      </c>
      <c r="DQ219" s="27">
        <v>0.24680000000000002</v>
      </c>
      <c r="DR219" s="27">
        <v>5.3458260000000001E-2</v>
      </c>
      <c r="DS219" s="27">
        <v>5.4750936053662311E-2</v>
      </c>
      <c r="DT219" s="27">
        <v>2.2775358880871514E-2</v>
      </c>
      <c r="DU219" s="30">
        <v>8.9420310000000001</v>
      </c>
      <c r="DV219">
        <v>2.2000000000000002</v>
      </c>
      <c r="DW219">
        <v>2.4</v>
      </c>
      <c r="DX219">
        <v>102.1</v>
      </c>
      <c r="DY219">
        <v>102.1</v>
      </c>
      <c r="DZ219">
        <v>0.9</v>
      </c>
      <c r="EA219">
        <v>0.7</v>
      </c>
      <c r="EB219">
        <v>1.494866</v>
      </c>
    </row>
    <row r="220" spans="1:132" ht="18">
      <c r="A220" s="14" t="s">
        <v>169</v>
      </c>
      <c r="B220" s="14">
        <v>11</v>
      </c>
      <c r="C220" s="14" t="s">
        <v>133</v>
      </c>
      <c r="D220" s="14" t="s">
        <v>134</v>
      </c>
      <c r="E220" s="14" t="s">
        <v>170</v>
      </c>
      <c r="F220" s="15">
        <v>15040</v>
      </c>
      <c r="G220" s="15">
        <v>4.1772478362556233</v>
      </c>
      <c r="I220" s="15"/>
      <c r="L220" s="17">
        <v>0.14396874291559394</v>
      </c>
      <c r="M220" s="18">
        <v>130</v>
      </c>
      <c r="N220" s="18">
        <v>117</v>
      </c>
      <c r="O220" s="18">
        <v>0.96571062329754842</v>
      </c>
      <c r="P220" s="18">
        <v>3</v>
      </c>
      <c r="Q220" s="18">
        <f t="shared" si="96"/>
        <v>3.3333333333333335</v>
      </c>
      <c r="R220" s="18">
        <v>130</v>
      </c>
      <c r="S220" s="18">
        <v>5</v>
      </c>
      <c r="T220" s="19">
        <v>39591.556400000001</v>
      </c>
      <c r="U220" s="19">
        <v>4.597602574817258</v>
      </c>
      <c r="V220" s="18">
        <v>242335</v>
      </c>
      <c r="W220" s="20">
        <v>5.3844161430237527</v>
      </c>
      <c r="X220" s="20">
        <v>0.71485250737463124</v>
      </c>
      <c r="Y220" s="20">
        <v>0.75815935590000005</v>
      </c>
      <c r="Z220" s="20">
        <f t="shared" si="86"/>
        <v>-0.12023950134124148</v>
      </c>
      <c r="AA220" s="20">
        <v>0.61135371179999998</v>
      </c>
      <c r="AB220" s="20">
        <v>2188.1743999999999</v>
      </c>
      <c r="AC220" s="20">
        <v>53870.139199999998</v>
      </c>
      <c r="AD220" s="21">
        <v>7005.634</v>
      </c>
      <c r="AE220" s="21">
        <f t="shared" si="94"/>
        <v>6.7060659594863306E-2</v>
      </c>
      <c r="AF220" s="21">
        <f t="shared" si="95"/>
        <v>3.8454474444386508</v>
      </c>
      <c r="AG220" s="22">
        <v>1.2231737556346007E-2</v>
      </c>
      <c r="AH220" s="22">
        <v>1544</v>
      </c>
      <c r="AI220" s="22">
        <v>3.0349498430000001</v>
      </c>
      <c r="AJ220" s="23">
        <v>339000</v>
      </c>
      <c r="AK220" s="23">
        <f t="shared" si="93"/>
        <v>5.5301996982030825</v>
      </c>
      <c r="AL220" s="24">
        <v>0.51893996899999995</v>
      </c>
      <c r="AM220" s="22">
        <v>63625</v>
      </c>
      <c r="AN220" s="22">
        <v>0.50404423706121415</v>
      </c>
      <c r="AO220" s="23">
        <v>0.11997483348881607</v>
      </c>
      <c r="AP220" s="33">
        <v>1.6723691999999998E-2</v>
      </c>
      <c r="AQ220" s="23">
        <v>0.22333216055667346</v>
      </c>
      <c r="AR220" s="23">
        <v>104467.1204</v>
      </c>
      <c r="AS220" s="23">
        <v>5.0189796236935882</v>
      </c>
      <c r="AT220" s="23">
        <v>4.9680358215029115</v>
      </c>
      <c r="AU220" s="22">
        <v>0.67100000000000004</v>
      </c>
      <c r="AV220" s="22">
        <v>0.36455698040000001</v>
      </c>
      <c r="AW220" s="22">
        <v>157.244</v>
      </c>
      <c r="AX220" s="22">
        <v>139.24529999999999</v>
      </c>
      <c r="AY220" s="22">
        <v>3</v>
      </c>
      <c r="AZ220" s="24">
        <v>76293.133600000001</v>
      </c>
      <c r="BA220" s="24">
        <f t="shared" si="87"/>
        <v>4.8824854531079778</v>
      </c>
      <c r="BB220" s="24">
        <v>40054.184800000003</v>
      </c>
      <c r="BC220" s="24">
        <f t="shared" si="88"/>
        <v>4.6026478972143421</v>
      </c>
      <c r="BD220" s="24">
        <v>36238.948799999998</v>
      </c>
      <c r="BE220" s="23">
        <v>9153.2559999999994</v>
      </c>
      <c r="BF220" s="23">
        <f t="shared" si="97"/>
        <v>584.92939999999953</v>
      </c>
      <c r="BG220" s="23">
        <v>0.14653646445149929</v>
      </c>
      <c r="BH220" s="23">
        <v>8.7618534568126183E-2</v>
      </c>
      <c r="BI220" s="23">
        <v>8.5931405632346108E-2</v>
      </c>
      <c r="BJ220" s="23">
        <v>6.3907912338588016E-2</v>
      </c>
      <c r="BK220" s="23">
        <v>1.9633438128527587E-2</v>
      </c>
      <c r="BL220" s="23">
        <v>7983.3972000000003</v>
      </c>
      <c r="BM220" s="22">
        <v>13052.9072</v>
      </c>
      <c r="BN220" s="22">
        <f t="shared" si="98"/>
        <v>2381.6665999999964</v>
      </c>
      <c r="BO220" s="22">
        <v>4.1157072503948822</v>
      </c>
      <c r="BP220" s="22">
        <v>0.17108888551406937</v>
      </c>
      <c r="BQ220" s="22">
        <v>2.4689848175365136E-2</v>
      </c>
      <c r="BR220" s="22">
        <v>1.1566702512719323E-3</v>
      </c>
      <c r="BS220" s="22">
        <v>-12072.2012</v>
      </c>
      <c r="BT220" s="22">
        <v>4.0817864649485802</v>
      </c>
      <c r="BU220" s="22">
        <v>0.11555981589016787</v>
      </c>
      <c r="BV220" s="23">
        <v>12119.374400000001</v>
      </c>
      <c r="BW220" s="22">
        <v>22822.725200000001</v>
      </c>
      <c r="BX220" s="22">
        <v>45.004185</v>
      </c>
      <c r="BY220" s="22">
        <v>1.6532529012841706</v>
      </c>
      <c r="BZ220" s="25">
        <v>0.22379034407173842</v>
      </c>
      <c r="CA220" s="23">
        <v>5.2921441202473654E-3</v>
      </c>
      <c r="CB220" s="23">
        <v>0.52921441202473651</v>
      </c>
      <c r="CC220" s="23">
        <v>-0.27636833724041487</v>
      </c>
      <c r="CD220" s="23">
        <v>1.2503539966201195E-2</v>
      </c>
      <c r="CE220" s="23">
        <v>2.1339758185819249E-2</v>
      </c>
      <c r="CF220" s="23">
        <v>1.1866666666666665</v>
      </c>
      <c r="CG220" s="23">
        <f t="shared" si="89"/>
        <v>0.1711482561958293</v>
      </c>
      <c r="CH220" s="26">
        <v>18.02</v>
      </c>
      <c r="CI220" s="26">
        <v>23.4</v>
      </c>
      <c r="CJ220" s="26">
        <v>1.2557547866430441</v>
      </c>
      <c r="CK220" s="26">
        <v>1.3692158574101427</v>
      </c>
      <c r="CL220" s="26">
        <v>-0.22991452991452987</v>
      </c>
      <c r="CM220" s="27">
        <v>18.608429118773955</v>
      </c>
      <c r="CN220" s="27">
        <v>-0.26379058716672099</v>
      </c>
      <c r="CO220" s="27">
        <v>10.24478261</v>
      </c>
      <c r="CP220" s="27">
        <v>-0.288256962693417</v>
      </c>
      <c r="CQ220" s="27">
        <v>71.254230769230816</v>
      </c>
      <c r="CR220" s="27">
        <v>-0.24593768180670883</v>
      </c>
      <c r="CS220" s="27">
        <v>0.83494252873563157</v>
      </c>
      <c r="CT220" s="27">
        <v>1.0720384615384604</v>
      </c>
      <c r="CU220" s="27">
        <v>-0.22116364413136569</v>
      </c>
      <c r="CV220" s="27">
        <v>0.95088122605364045</v>
      </c>
      <c r="CW220" s="27">
        <v>1.9781262728880398</v>
      </c>
      <c r="CX220" s="36">
        <v>0.54</v>
      </c>
      <c r="CY220" s="28">
        <v>0.92</v>
      </c>
      <c r="CZ220" s="29">
        <v>24.56237548</v>
      </c>
      <c r="DA220" s="27">
        <v>-0.18114392008251654</v>
      </c>
      <c r="DD220" s="27">
        <v>1</v>
      </c>
      <c r="DF220" s="27">
        <v>100.1</v>
      </c>
      <c r="DG220" s="28">
        <v>4.6061696863211745</v>
      </c>
      <c r="DH220" s="28">
        <v>0.98895100000000002</v>
      </c>
      <c r="DI220" s="27">
        <v>1.6</v>
      </c>
      <c r="DK220" s="27">
        <v>1.9</v>
      </c>
      <c r="DL220" s="27">
        <v>2.8981124147912794E-2</v>
      </c>
      <c r="DM220" s="28">
        <v>0.9153</v>
      </c>
      <c r="DN220" s="28">
        <v>0.93479999999999996</v>
      </c>
      <c r="DO220" s="28">
        <v>3.3272512611355496E-3</v>
      </c>
      <c r="DP220" s="28">
        <v>-2.0860077021822809E-2</v>
      </c>
      <c r="DQ220" s="27">
        <v>9.8500000000000032E-2</v>
      </c>
      <c r="DR220" s="27">
        <v>2.2775358999999998E-2</v>
      </c>
      <c r="DS220" s="27">
        <v>5.3458259584010771E-2</v>
      </c>
      <c r="DT220" s="27">
        <v>1.9843653201058572E-2</v>
      </c>
      <c r="DU220" s="30">
        <v>8.0652849999999994</v>
      </c>
      <c r="DV220">
        <v>0.9</v>
      </c>
      <c r="DW220">
        <v>1.4</v>
      </c>
      <c r="DX220">
        <v>103.9</v>
      </c>
      <c r="DY220">
        <v>103.8</v>
      </c>
      <c r="DZ220">
        <v>0.1</v>
      </c>
      <c r="EA220">
        <v>0</v>
      </c>
      <c r="EB220">
        <v>1.826854</v>
      </c>
    </row>
    <row r="221" spans="1:132" ht="18">
      <c r="A221" s="14" t="s">
        <v>169</v>
      </c>
      <c r="B221" s="14">
        <v>12</v>
      </c>
      <c r="C221" s="14" t="s">
        <v>133</v>
      </c>
      <c r="D221" s="14" t="s">
        <v>134</v>
      </c>
      <c r="E221" s="14" t="s">
        <v>170</v>
      </c>
      <c r="F221" s="15">
        <v>12281</v>
      </c>
      <c r="G221" s="15">
        <v>4.0892337313653986</v>
      </c>
      <c r="I221" s="15"/>
      <c r="L221" s="17">
        <v>0.12492782597738776</v>
      </c>
      <c r="M221" s="18">
        <v>130</v>
      </c>
      <c r="N221" s="18">
        <v>117</v>
      </c>
      <c r="O221" s="18">
        <v>0.96571062329754842</v>
      </c>
      <c r="P221" s="18">
        <v>3</v>
      </c>
      <c r="Q221" s="18">
        <f t="shared" si="96"/>
        <v>3.3333333333333335</v>
      </c>
      <c r="R221" s="18">
        <v>130</v>
      </c>
      <c r="S221" s="18">
        <v>5</v>
      </c>
      <c r="T221" s="19">
        <v>38531.985800000002</v>
      </c>
      <c r="U221" s="19">
        <v>4.5858213915657835</v>
      </c>
      <c r="V221" s="18">
        <v>239970</v>
      </c>
      <c r="W221" s="20">
        <v>5.3801569515081598</v>
      </c>
      <c r="X221" s="20">
        <v>0.7206306306306306</v>
      </c>
      <c r="Y221" s="20">
        <v>0.75037616289999998</v>
      </c>
      <c r="Z221" s="20">
        <f t="shared" si="86"/>
        <v>-0.12472097058504639</v>
      </c>
      <c r="AA221" s="20">
        <v>0.58049886620000002</v>
      </c>
      <c r="AB221" s="20">
        <v>1876.4438</v>
      </c>
      <c r="AC221" s="20">
        <v>51028.824000000001</v>
      </c>
      <c r="AD221" s="21">
        <v>6326.3662000000004</v>
      </c>
      <c r="AE221" s="21">
        <f t="shared" si="94"/>
        <v>6.4354627123428709E-2</v>
      </c>
      <c r="AF221" s="21">
        <f t="shared" si="95"/>
        <v>3.8011543273261839</v>
      </c>
      <c r="AG221" s="22">
        <v>1.247903555238206E-2</v>
      </c>
      <c r="AH221" s="22">
        <v>1503</v>
      </c>
      <c r="AI221" s="22">
        <v>3.2429567029999999</v>
      </c>
      <c r="AJ221" s="23">
        <v>333000</v>
      </c>
      <c r="AK221" s="23">
        <f t="shared" si="93"/>
        <v>5.5224442335063202</v>
      </c>
      <c r="AL221" s="24">
        <v>0.51226155100000004</v>
      </c>
      <c r="AM221" s="22">
        <v>56303</v>
      </c>
      <c r="AN221" s="22">
        <v>0.46746981949818167</v>
      </c>
      <c r="AO221" s="23">
        <v>0.11333796306343455</v>
      </c>
      <c r="AP221" s="33">
        <v>7.2558978999999996E-2</v>
      </c>
      <c r="AQ221" s="23">
        <v>0.86069116300207027</v>
      </c>
      <c r="AR221" s="23">
        <v>98304.760399999999</v>
      </c>
      <c r="AS221" s="23">
        <v>4.9925745490162008</v>
      </c>
      <c r="AT221" s="23">
        <v>5.0189796236935882</v>
      </c>
      <c r="AU221" s="22">
        <v>0.59</v>
      </c>
      <c r="AV221" s="22">
        <v>0.27669026019999998</v>
      </c>
      <c r="AW221" s="22">
        <v>169.7696</v>
      </c>
      <c r="AX221" s="22">
        <v>157.244</v>
      </c>
      <c r="AY221" s="22">
        <v>3</v>
      </c>
      <c r="AZ221" s="24">
        <v>75219.359599999996</v>
      </c>
      <c r="BA221" s="24">
        <f t="shared" si="87"/>
        <v>4.8763296316206777</v>
      </c>
      <c r="BB221" s="24">
        <v>39268.198199999999</v>
      </c>
      <c r="BC221" s="24">
        <f t="shared" si="88"/>
        <v>4.5940409743605688</v>
      </c>
      <c r="BD221" s="24">
        <v>35951.161399999997</v>
      </c>
      <c r="BE221" s="23">
        <v>8525.2090000000007</v>
      </c>
      <c r="BF221" s="23">
        <f t="shared" si="97"/>
        <v>314.02349999999933</v>
      </c>
      <c r="BG221" s="23">
        <v>-6.8614600094217701E-2</v>
      </c>
      <c r="BH221" s="23">
        <v>8.6722239750253241E-2</v>
      </c>
      <c r="BI221" s="23">
        <v>8.7618534568126183E-2</v>
      </c>
      <c r="BJ221" s="23">
        <v>6.3907912338588016E-2</v>
      </c>
      <c r="BK221" s="23">
        <v>-1.022951162434752E-2</v>
      </c>
      <c r="BL221" s="23">
        <v>9153.2559999999994</v>
      </c>
      <c r="BM221" s="22">
        <v>12236.4704</v>
      </c>
      <c r="BN221" s="22">
        <f t="shared" si="98"/>
        <v>408.21839999999975</v>
      </c>
      <c r="BO221" s="22">
        <v>4.087656163980955</v>
      </c>
      <c r="BP221" s="22">
        <v>0.16267714143102066</v>
      </c>
      <c r="BQ221" s="22">
        <v>4.2058720415243528E-3</v>
      </c>
      <c r="BR221" s="22">
        <v>2.4689848175365136E-2</v>
      </c>
      <c r="BS221" s="22">
        <v>-1310.8172</v>
      </c>
      <c r="BT221" s="22">
        <v>3.1175421313799143</v>
      </c>
      <c r="BU221" s="22">
        <v>1.3334218960163399E-2</v>
      </c>
      <c r="BV221" s="23">
        <v>11234.176799999999</v>
      </c>
      <c r="BW221" s="22">
        <v>17746.636600000002</v>
      </c>
      <c r="BX221" s="22">
        <v>50.531725000000002</v>
      </c>
      <c r="BY221" s="22">
        <v>1.7035641239891537</v>
      </c>
      <c r="BZ221" s="25">
        <v>0.12282279970184999</v>
      </c>
      <c r="CA221" s="23">
        <v>2.1339758185819249E-2</v>
      </c>
      <c r="CB221" s="23">
        <v>2.1339758185819249</v>
      </c>
      <c r="CC221" s="23">
        <v>0.32918949385324209</v>
      </c>
      <c r="CD221" s="23">
        <v>5.2921441202473654E-3</v>
      </c>
      <c r="CE221" s="23">
        <v>5.2176020974686816E-3</v>
      </c>
      <c r="CF221" s="23">
        <v>1.1824324324324325</v>
      </c>
      <c r="CG221" s="23">
        <f t="shared" si="89"/>
        <v>0.16757370015939901</v>
      </c>
      <c r="CH221" s="26">
        <v>13.72</v>
      </c>
      <c r="CI221" s="26">
        <v>18.02</v>
      </c>
      <c r="CJ221" s="26">
        <v>1.1373541113707328</v>
      </c>
      <c r="CK221" s="26">
        <v>1.2557547866430441</v>
      </c>
      <c r="CL221" s="26">
        <v>-0.23862375138734734</v>
      </c>
      <c r="CM221" s="27">
        <v>14.834099616858232</v>
      </c>
      <c r="CN221" s="27">
        <v>-0.20282902322516949</v>
      </c>
      <c r="CO221" s="27">
        <v>8.3248809519999991</v>
      </c>
      <c r="CP221" s="27">
        <v>-0.18740286944946707</v>
      </c>
      <c r="CQ221" s="27">
        <v>73.031538461538446</v>
      </c>
      <c r="CR221" s="27">
        <v>2.494318825872599E-2</v>
      </c>
      <c r="CS221" s="27">
        <v>0.8023754789272034</v>
      </c>
      <c r="CT221" s="27">
        <v>0.83494252873563157</v>
      </c>
      <c r="CU221" s="27">
        <v>-3.9005139500733109E-2</v>
      </c>
      <c r="CV221" s="27">
        <v>0.96896551724137914</v>
      </c>
      <c r="CW221" s="27">
        <v>1.9863083220061237</v>
      </c>
      <c r="CX221" s="36">
        <v>0.62</v>
      </c>
      <c r="CY221" s="28">
        <v>0.54</v>
      </c>
      <c r="CZ221" s="29">
        <v>18.565019159999999</v>
      </c>
      <c r="DA221" s="27">
        <v>-0.24416841623821645</v>
      </c>
      <c r="DD221" s="27">
        <v>1</v>
      </c>
      <c r="DF221" s="27">
        <v>99.9</v>
      </c>
      <c r="DG221" s="28">
        <v>4.604169685654508</v>
      </c>
      <c r="DH221" s="28">
        <v>0.986572</v>
      </c>
      <c r="DI221" s="27">
        <v>1.6</v>
      </c>
      <c r="DK221" s="27">
        <v>1.3</v>
      </c>
      <c r="DL221" s="27">
        <v>1.9432302171109177E-2</v>
      </c>
      <c r="DM221" s="28">
        <v>0.88919999999999999</v>
      </c>
      <c r="DN221" s="28">
        <v>0.9153</v>
      </c>
      <c r="DO221" s="28">
        <v>-2.0860077021822809E-2</v>
      </c>
      <c r="DP221" s="28">
        <v>-2.8515240904621448E-2</v>
      </c>
      <c r="DQ221" s="27">
        <v>9.3600000000000017E-2</v>
      </c>
      <c r="DR221" s="27">
        <v>1.9843652999999999E-2</v>
      </c>
      <c r="DS221" s="27">
        <v>2.2775358880871514E-2</v>
      </c>
      <c r="DT221" s="27">
        <v>3.2641408938449919E-2</v>
      </c>
      <c r="DU221" s="30">
        <v>7.3719619999999999</v>
      </c>
      <c r="DV221">
        <v>1.5</v>
      </c>
      <c r="DW221">
        <v>2.1</v>
      </c>
      <c r="DX221">
        <v>105.4</v>
      </c>
      <c r="DY221">
        <v>105.7</v>
      </c>
      <c r="DZ221">
        <v>0.2</v>
      </c>
      <c r="EA221">
        <v>0.8</v>
      </c>
      <c r="EB221">
        <v>1.343728</v>
      </c>
    </row>
    <row r="222" spans="1:132" ht="18">
      <c r="A222" s="14" t="s">
        <v>169</v>
      </c>
      <c r="B222" s="14">
        <v>13</v>
      </c>
      <c r="C222" s="14" t="s">
        <v>133</v>
      </c>
      <c r="D222" s="14" t="s">
        <v>134</v>
      </c>
      <c r="E222" s="14" t="s">
        <v>170</v>
      </c>
      <c r="F222" s="15">
        <v>14627</v>
      </c>
      <c r="G222" s="15">
        <v>4.1651552613920657</v>
      </c>
      <c r="I222" s="15"/>
      <c r="L222" s="17">
        <v>0.13505001753332763</v>
      </c>
      <c r="M222" s="18">
        <v>130</v>
      </c>
      <c r="N222" s="18">
        <v>117</v>
      </c>
      <c r="O222" s="18">
        <v>0.96571062329754842</v>
      </c>
      <c r="P222" s="18">
        <v>3</v>
      </c>
      <c r="Q222" s="18">
        <f t="shared" si="96"/>
        <v>3.3333333333333335</v>
      </c>
      <c r="R222" s="18">
        <v>130</v>
      </c>
      <c r="S222" s="18">
        <v>5</v>
      </c>
      <c r="T222" s="19">
        <v>36967.568399999996</v>
      </c>
      <c r="U222" s="19">
        <v>4.5678208851094206</v>
      </c>
      <c r="V222" s="18">
        <v>243850</v>
      </c>
      <c r="W222" s="20">
        <v>5.3871227599275855</v>
      </c>
      <c r="X222" s="20">
        <v>0.71932153392330378</v>
      </c>
      <c r="Y222" s="20">
        <v>0.76102117589999996</v>
      </c>
      <c r="Z222" s="20">
        <f t="shared" si="86"/>
        <v>-0.11860325854011335</v>
      </c>
      <c r="AA222" s="20">
        <v>0.63157894739999998</v>
      </c>
      <c r="AB222" s="20">
        <v>1408.9376</v>
      </c>
      <c r="AC222" s="20">
        <v>59119.378799999999</v>
      </c>
      <c r="AD222" s="21">
        <v>6424.6256000000003</v>
      </c>
      <c r="AE222" s="21">
        <f t="shared" si="94"/>
        <v>5.9318096665417763E-2</v>
      </c>
      <c r="AF222" s="21">
        <f t="shared" si="95"/>
        <v>3.807847823895667</v>
      </c>
      <c r="AG222" s="22">
        <v>1.2199325590108655E-2</v>
      </c>
      <c r="AH222" s="22">
        <v>1628</v>
      </c>
      <c r="AI222" s="22">
        <v>3.2923042269999998</v>
      </c>
      <c r="AJ222" s="23">
        <v>339000</v>
      </c>
      <c r="AK222" s="23">
        <f t="shared" si="93"/>
        <v>5.5301996982030825</v>
      </c>
      <c r="AL222" s="24">
        <v>0.49719469100000002</v>
      </c>
      <c r="AM222" s="22">
        <v>61566</v>
      </c>
      <c r="AN222" s="22">
        <v>0.46134132633945296</v>
      </c>
      <c r="AO222" s="23">
        <v>0.16268611098982669</v>
      </c>
      <c r="AP222" s="33">
        <v>7.1126720000000004E-2</v>
      </c>
      <c r="AQ222" s="23">
        <v>0.8520327817226625</v>
      </c>
      <c r="AR222" s="23">
        <v>108308.02</v>
      </c>
      <c r="AS222" s="23">
        <v>5.0346606164848344</v>
      </c>
      <c r="AT222" s="23">
        <v>4.9925745490162008</v>
      </c>
      <c r="AU222" s="22">
        <v>0.53800000000000003</v>
      </c>
      <c r="AV222" s="22">
        <v>0.23942448390000001</v>
      </c>
      <c r="AW222" s="22">
        <v>192.07650000000001</v>
      </c>
      <c r="AX222" s="22">
        <v>169.7696</v>
      </c>
      <c r="AY222" s="22">
        <v>3</v>
      </c>
      <c r="AZ222" s="24">
        <v>74352.299199999994</v>
      </c>
      <c r="BA222" s="24">
        <f t="shared" si="87"/>
        <v>4.8712944027763836</v>
      </c>
      <c r="BB222" s="24">
        <v>38594.014799999997</v>
      </c>
      <c r="BC222" s="24">
        <f t="shared" si="88"/>
        <v>4.5865199590531853</v>
      </c>
      <c r="BD222" s="24">
        <v>35758.284399999997</v>
      </c>
      <c r="BE222" s="23">
        <v>12096.0864</v>
      </c>
      <c r="BF222" s="23">
        <f t="shared" si="97"/>
        <v>1785.4386999999945</v>
      </c>
      <c r="BG222" s="23">
        <v>0.41886098041701958</v>
      </c>
      <c r="BH222" s="23">
        <v>0.1116822780067441</v>
      </c>
      <c r="BI222" s="23">
        <v>8.6722239750253241E-2</v>
      </c>
      <c r="BJ222" s="23">
        <v>6.3907912338588016E-2</v>
      </c>
      <c r="BK222" s="23">
        <v>0.28781588584856599</v>
      </c>
      <c r="BL222" s="23">
        <v>8525.2090000000007</v>
      </c>
      <c r="BM222" s="22">
        <v>11930.52</v>
      </c>
      <c r="BN222" s="22">
        <f>STDEVP(BM221:BM222)</f>
        <v>152.97519999999986</v>
      </c>
      <c r="BO222" s="22">
        <v>4.0766593731094849</v>
      </c>
      <c r="BP222" s="22">
        <v>0.16045932847225255</v>
      </c>
      <c r="BQ222" s="22">
        <v>1.1089064793840531E-3</v>
      </c>
      <c r="BR222" s="22">
        <v>4.2058720415243528E-3</v>
      </c>
      <c r="BS222" s="22">
        <v>-2493.2352000000001</v>
      </c>
      <c r="BT222" s="22">
        <v>3.3967632497207827</v>
      </c>
      <c r="BU222" s="22">
        <v>2.3019857624578494E-2</v>
      </c>
      <c r="BV222" s="23">
        <v>11126.224399999999</v>
      </c>
      <c r="BW222" s="22">
        <v>17210.7896</v>
      </c>
      <c r="BX222" s="22">
        <v>58.049616999999998</v>
      </c>
      <c r="BY222" s="22">
        <v>1.7637993586941398</v>
      </c>
      <c r="BZ222" s="25">
        <v>0.14877568497810031</v>
      </c>
      <c r="CA222" s="23">
        <v>5.2176020974686816E-3</v>
      </c>
      <c r="CB222" s="23">
        <v>0.52176020974686821</v>
      </c>
      <c r="CC222" s="23">
        <v>-0.28252904395231415</v>
      </c>
      <c r="CD222" s="23">
        <v>2.1339758185819249E-2</v>
      </c>
      <c r="CE222" s="23">
        <v>5.47E-3</v>
      </c>
      <c r="CF222" s="23">
        <v>1.148003132341425</v>
      </c>
      <c r="CG222" s="23">
        <f t="shared" si="89"/>
        <v>0.13802402641405737</v>
      </c>
      <c r="CH222" s="26">
        <v>19.2</v>
      </c>
      <c r="CI222" s="26">
        <v>13.72</v>
      </c>
      <c r="CJ222" s="26">
        <v>1.2833012287035497</v>
      </c>
      <c r="CK222" s="26">
        <v>1.1373541113707328</v>
      </c>
      <c r="CL222" s="26">
        <v>0.39941690962099113</v>
      </c>
      <c r="CM222" s="27">
        <v>14.883180076628348</v>
      </c>
      <c r="CN222" s="27">
        <v>3.3086241186042575E-3</v>
      </c>
      <c r="CO222" s="27">
        <v>6.9159523810000003</v>
      </c>
      <c r="CP222" s="27">
        <v>-0.1692430893755319</v>
      </c>
      <c r="CQ222" s="27">
        <v>64.583076923076902</v>
      </c>
      <c r="CR222" s="27">
        <v>-0.11568237115682381</v>
      </c>
      <c r="CS222" s="27">
        <v>0.66574712643678124</v>
      </c>
      <c r="CT222" s="27">
        <v>0.8023754789272034</v>
      </c>
      <c r="CU222" s="27">
        <v>-0.1702798204564997</v>
      </c>
      <c r="CV222" s="27">
        <v>0.67685823754789287</v>
      </c>
      <c r="CW222" s="27">
        <v>1.8304977187626064</v>
      </c>
      <c r="CX222" s="36">
        <v>1.33</v>
      </c>
      <c r="CY222" s="28">
        <v>0.62</v>
      </c>
      <c r="CZ222" s="29">
        <v>18.278045980000002</v>
      </c>
      <c r="DA222" s="27">
        <v>-1.5457736807420394E-2</v>
      </c>
      <c r="DD222" s="27">
        <v>1</v>
      </c>
      <c r="DF222" s="27">
        <v>99.5</v>
      </c>
      <c r="DG222" s="28">
        <v>4.6001576441645469</v>
      </c>
      <c r="DH222" s="28">
        <v>0.98709899999999995</v>
      </c>
      <c r="DI222" s="27">
        <v>1.6</v>
      </c>
      <c r="DK222" s="27">
        <v>1</v>
      </c>
      <c r="DL222" s="27">
        <v>2.4593025325147688E-2</v>
      </c>
      <c r="DM222" s="28">
        <v>0.99350000000000005</v>
      </c>
      <c r="DN222" s="28">
        <v>0.88919999999999999</v>
      </c>
      <c r="DO222" s="28">
        <v>-2.8515240904621448E-2</v>
      </c>
      <c r="DP222" s="28">
        <v>0.11729644624381473</v>
      </c>
      <c r="DQ222" s="27">
        <v>0.12260000000000004</v>
      </c>
      <c r="DR222" s="27">
        <v>3.2641409000000003E-2</v>
      </c>
      <c r="DS222" s="27">
        <v>1.9843653201058572E-2</v>
      </c>
      <c r="DT222" s="27">
        <v>3.359649E-2</v>
      </c>
      <c r="DU222" s="30">
        <v>6.1553740000000001</v>
      </c>
      <c r="DV222">
        <v>1.6</v>
      </c>
      <c r="DW222">
        <v>2.2999999999999998</v>
      </c>
      <c r="DX222">
        <v>107</v>
      </c>
      <c r="DY222">
        <v>107.5</v>
      </c>
      <c r="DZ222">
        <v>0.4</v>
      </c>
      <c r="EA222">
        <v>1.1000000000000001</v>
      </c>
      <c r="EB222">
        <v>1.4054869999999999</v>
      </c>
    </row>
    <row r="223" spans="1:132" ht="18">
      <c r="A223" s="14" t="s">
        <v>171</v>
      </c>
      <c r="B223" s="14">
        <v>1</v>
      </c>
      <c r="C223" s="14" t="s">
        <v>150</v>
      </c>
      <c r="D223" s="14" t="s">
        <v>148</v>
      </c>
      <c r="E223" s="14" t="s">
        <v>145</v>
      </c>
      <c r="F223" s="15">
        <v>1599</v>
      </c>
      <c r="G223" s="15">
        <v>3.2038484637462346</v>
      </c>
      <c r="H223" s="15">
        <v>608</v>
      </c>
      <c r="I223" s="15">
        <v>67</v>
      </c>
      <c r="J223" s="16">
        <v>924</v>
      </c>
      <c r="K223" s="16">
        <v>1</v>
      </c>
      <c r="L223" s="17">
        <v>7.8861708423752216E-2</v>
      </c>
      <c r="M223" s="18">
        <v>43</v>
      </c>
      <c r="P223" s="18">
        <v>2</v>
      </c>
      <c r="Q223" s="18">
        <f>(1+1+3)/3</f>
        <v>1.6666666666666667</v>
      </c>
      <c r="R223" s="18">
        <v>43</v>
      </c>
      <c r="S223" s="18">
        <v>5</v>
      </c>
      <c r="T223" s="19">
        <v>3377</v>
      </c>
      <c r="U223" s="19">
        <v>3.5285310606354114</v>
      </c>
      <c r="V223" s="18">
        <v>13468</v>
      </c>
      <c r="W223" s="20">
        <v>4.1293031077160514</v>
      </c>
      <c r="X223" s="20">
        <v>0.26857040301513552</v>
      </c>
      <c r="Y223" s="20">
        <v>0.1407359587</v>
      </c>
      <c r="Z223" s="20">
        <f t="shared" si="86"/>
        <v>-0.85159492410220694</v>
      </c>
      <c r="AA223" s="20"/>
      <c r="AB223" s="20"/>
      <c r="AC223" s="20">
        <v>654</v>
      </c>
      <c r="AD223" s="21">
        <v>883</v>
      </c>
      <c r="AE223" s="21">
        <f t="shared" si="94"/>
        <v>4.3549023476030777E-2</v>
      </c>
      <c r="AF223" s="21">
        <f t="shared" si="95"/>
        <v>2.9459607035775686</v>
      </c>
      <c r="AG223" s="22">
        <v>1.6374038271848492E-2</v>
      </c>
      <c r="AH223" s="22">
        <v>332</v>
      </c>
      <c r="AI223" s="22"/>
      <c r="AJ223" s="23">
        <v>50147</v>
      </c>
      <c r="AK223" s="23">
        <f t="shared" si="93"/>
        <v>4.7002449568496205</v>
      </c>
      <c r="AL223" s="24">
        <v>0.408590442</v>
      </c>
      <c r="AM223" s="22">
        <f>5116+2444+3576+1163+2385</f>
        <v>14684</v>
      </c>
      <c r="AN223" s="22">
        <f>AM223/AR223</f>
        <v>0.72420595778260011</v>
      </c>
      <c r="AO223" s="23">
        <v>3.9443436176648521E-2</v>
      </c>
      <c r="AP223" s="23">
        <v>1.1689815145165421E-2</v>
      </c>
      <c r="AQ223" s="23">
        <v>6.7807643576778889E-2</v>
      </c>
      <c r="AR223" s="23">
        <v>20276</v>
      </c>
      <c r="AS223" s="23">
        <v>4.3069822825513642</v>
      </c>
      <c r="AT223" s="23">
        <f>LOG(20558)</f>
        <v>4.3129808617233794</v>
      </c>
      <c r="AU223" s="22">
        <v>0.81399999999999995</v>
      </c>
      <c r="AV223" s="22">
        <v>0.55149253730000003</v>
      </c>
      <c r="AW223" s="22"/>
      <c r="AX223" s="22"/>
      <c r="AY223" s="22"/>
      <c r="AZ223" s="24">
        <v>8265</v>
      </c>
      <c r="BA223" s="24">
        <f t="shared" si="87"/>
        <v>3.9172428579074663</v>
      </c>
      <c r="BB223" s="24">
        <v>6129</v>
      </c>
      <c r="BC223" s="24">
        <f t="shared" si="88"/>
        <v>3.7873896213521099</v>
      </c>
      <c r="BD223" s="24">
        <v>2136</v>
      </c>
      <c r="BE223" s="23">
        <v>326</v>
      </c>
      <c r="BF223" s="23">
        <v>456.5</v>
      </c>
      <c r="BG223" s="23">
        <v>-1.555366269165247</v>
      </c>
      <c r="BH223" s="23">
        <v>1.6078121917537977E-2</v>
      </c>
      <c r="BI223" s="23">
        <v>-1.7851931121704447E-2</v>
      </c>
      <c r="BJ223" s="23">
        <v>5.9649338238828342E-2</v>
      </c>
      <c r="BK223" s="23">
        <v>1.9006376849611599</v>
      </c>
      <c r="BL223" s="23">
        <v>143</v>
      </c>
      <c r="BM223" s="22">
        <v>907</v>
      </c>
      <c r="BN223" s="22"/>
      <c r="BO223" s="22">
        <v>2.9576072870600951</v>
      </c>
      <c r="BP223" s="22">
        <v>0.10973986690865094</v>
      </c>
      <c r="BQ223" s="22">
        <v>1.2755319297865145E-2</v>
      </c>
      <c r="BR223" s="22"/>
      <c r="BS223" s="22">
        <v>-484</v>
      </c>
      <c r="BT223" s="22">
        <v>2.6848453616444123</v>
      </c>
      <c r="BU223" s="22">
        <v>2.3870585914381535E-2</v>
      </c>
      <c r="BV223" s="23">
        <v>674</v>
      </c>
      <c r="BW223" s="22">
        <v>2217</v>
      </c>
      <c r="BX223" s="22"/>
      <c r="BY223" s="22"/>
      <c r="BZ223" s="25"/>
      <c r="CA223" s="23">
        <v>6.0688564775993499E-2</v>
      </c>
      <c r="CB223" s="23">
        <v>6.0688564775993497</v>
      </c>
      <c r="CC223" s="23">
        <v>0.78310686698071941</v>
      </c>
      <c r="CD223" s="23">
        <v>3.268886E-2</v>
      </c>
      <c r="CE223" s="23">
        <v>3.9305854754660308E-2</v>
      </c>
      <c r="CH223" s="26">
        <v>28.62</v>
      </c>
      <c r="CI223" s="26">
        <v>23.8</v>
      </c>
      <c r="CJ223" s="26">
        <v>1.4566696294237576</v>
      </c>
      <c r="CK223" s="26">
        <v>1.3765769570565121</v>
      </c>
      <c r="CL223" s="26">
        <v>0.20252100840336135</v>
      </c>
      <c r="CM223" s="27">
        <v>28.164291187739472</v>
      </c>
      <c r="CN223" s="27">
        <v>5.6821432935815153E-2</v>
      </c>
      <c r="CQ223" s="27">
        <v>125.09884615384618</v>
      </c>
      <c r="CR223" s="27">
        <v>0.13726223776223803</v>
      </c>
      <c r="CS223" s="27">
        <v>0.92386973180076593</v>
      </c>
      <c r="CT223" s="27">
        <v>1.0645593900000001</v>
      </c>
      <c r="CU223" s="27">
        <v>-0.12842478132003218</v>
      </c>
      <c r="CX223" s="36">
        <v>0.76</v>
      </c>
      <c r="CY223" s="28">
        <v>0.82</v>
      </c>
      <c r="CZ223" s="29">
        <v>37.275402300000003</v>
      </c>
      <c r="DA223" s="27">
        <v>0.32652677224199295</v>
      </c>
      <c r="DB223" s="27">
        <v>2.5105365885464708</v>
      </c>
      <c r="DC223" s="27">
        <v>1.25643310503606</v>
      </c>
      <c r="DD223" s="27">
        <v>1</v>
      </c>
      <c r="DE223" s="27">
        <v>1.5</v>
      </c>
      <c r="DF223" s="27">
        <v>87.3</v>
      </c>
      <c r="DG223" s="28">
        <v>4.4693504628455569</v>
      </c>
      <c r="DH223" s="27">
        <v>0.88536000000000004</v>
      </c>
      <c r="DI223" s="27">
        <v>2.5</v>
      </c>
      <c r="DJ223" s="27">
        <v>2.7</v>
      </c>
      <c r="DK223" s="27">
        <v>2.2999999999999998</v>
      </c>
      <c r="DL223" s="27">
        <v>1.1731637610823707E-2</v>
      </c>
      <c r="DM223" s="27">
        <v>0.95289999999999997</v>
      </c>
      <c r="DN223" s="28">
        <v>1.1605000000000001</v>
      </c>
      <c r="DO223" s="28">
        <v>9.3264248704663183E-2</v>
      </c>
      <c r="DP223" s="28">
        <v>-0.15237502223803603</v>
      </c>
      <c r="DQ223" s="27">
        <v>0.20879999999999999</v>
      </c>
      <c r="DR223" s="27">
        <v>6.0688564775993471E-2</v>
      </c>
      <c r="DS223" s="27">
        <v>3.9305854754660308E-2</v>
      </c>
      <c r="DT223" s="27">
        <v>3.268886E-2</v>
      </c>
      <c r="DU223" s="30">
        <v>5.7817160000000003</v>
      </c>
      <c r="DV223">
        <v>0.9</v>
      </c>
      <c r="DW223">
        <v>2.8</v>
      </c>
      <c r="DX223">
        <v>84</v>
      </c>
      <c r="DY223">
        <v>80.900000000000006</v>
      </c>
      <c r="DZ223">
        <v>2.2000000000000002</v>
      </c>
      <c r="EA223">
        <v>3</v>
      </c>
      <c r="EB223">
        <v>1.701892</v>
      </c>
    </row>
    <row r="224" spans="1:132" ht="18">
      <c r="A224" s="14" t="s">
        <v>171</v>
      </c>
      <c r="B224" s="14">
        <v>2</v>
      </c>
      <c r="C224" s="14" t="s">
        <v>150</v>
      </c>
      <c r="D224" s="14" t="s">
        <v>148</v>
      </c>
      <c r="E224" s="14" t="s">
        <v>145</v>
      </c>
      <c r="F224" s="15">
        <v>1496.2</v>
      </c>
      <c r="G224" s="15">
        <v>3.1749896504073343</v>
      </c>
      <c r="H224" s="15">
        <v>492</v>
      </c>
      <c r="I224" s="15">
        <v>30</v>
      </c>
      <c r="J224" s="16">
        <v>974.3</v>
      </c>
      <c r="K224" s="16">
        <v>1</v>
      </c>
      <c r="L224" s="17">
        <v>7.7607759738575657E-2</v>
      </c>
      <c r="M224" s="18">
        <v>43</v>
      </c>
      <c r="P224" s="18">
        <v>2</v>
      </c>
      <c r="Q224" s="18">
        <f t="shared" ref="Q224:Q235" si="99">(1+1+3)/3</f>
        <v>1.6666666666666667</v>
      </c>
      <c r="R224" s="18">
        <v>43</v>
      </c>
      <c r="S224" s="18">
        <v>5</v>
      </c>
      <c r="T224" s="19">
        <v>3232</v>
      </c>
      <c r="U224" s="19">
        <v>3.5094713521025485</v>
      </c>
      <c r="V224" s="18">
        <v>12940</v>
      </c>
      <c r="W224" s="20">
        <v>4.1119342763326818</v>
      </c>
      <c r="X224" s="20">
        <v>0.26952156797400595</v>
      </c>
      <c r="Y224" s="20">
        <v>0.1407359587</v>
      </c>
      <c r="Z224" s="20">
        <f t="shared" si="86"/>
        <v>-0.85159492410220694</v>
      </c>
      <c r="AA224" s="20"/>
      <c r="AB224" s="20"/>
      <c r="AC224" s="20">
        <v>654</v>
      </c>
      <c r="AD224" s="21">
        <v>231</v>
      </c>
      <c r="AE224" s="21">
        <f t="shared" si="94"/>
        <v>1.1981949271227761E-2</v>
      </c>
      <c r="AF224" s="21">
        <f t="shared" si="95"/>
        <v>2.3636119798921444</v>
      </c>
      <c r="AG224" s="22">
        <v>1.4782924425540744E-2</v>
      </c>
      <c r="AH224" s="22">
        <v>285</v>
      </c>
      <c r="AI224" s="22"/>
      <c r="AJ224" s="23">
        <v>48011</v>
      </c>
      <c r="AK224" s="23">
        <f t="shared" si="93"/>
        <v>4.6813407517920984</v>
      </c>
      <c r="AL224" s="24">
        <v>0.39152029100000002</v>
      </c>
      <c r="AM224" s="22">
        <f>2217+4066+1056+1748+14485</f>
        <v>23572</v>
      </c>
      <c r="AN224" s="22">
        <f t="shared" ref="AN224:AN235" si="100">AM224/AR224</f>
        <v>1.2226775247678821</v>
      </c>
      <c r="AO224" s="23">
        <v>5.7298606904906117E-2</v>
      </c>
      <c r="AP224" s="33">
        <v>2.4508009999999998E-3</v>
      </c>
      <c r="AQ224" s="23">
        <v>-0.61069195113492891</v>
      </c>
      <c r="AR224" s="23">
        <v>19279</v>
      </c>
      <c r="AS224" s="23">
        <v>4.2850845033352192</v>
      </c>
      <c r="AT224" s="23">
        <v>4.3069822825513642</v>
      </c>
      <c r="AU224" s="22">
        <v>0.44</v>
      </c>
      <c r="AV224" s="22">
        <v>0.1945052273</v>
      </c>
      <c r="AW224" s="22"/>
      <c r="AX224" s="22"/>
      <c r="AY224" s="22"/>
      <c r="AZ224" s="24">
        <v>8255</v>
      </c>
      <c r="BA224" s="24">
        <f t="shared" si="87"/>
        <v>3.9167170775988125</v>
      </c>
      <c r="BB224" s="24">
        <v>6138</v>
      </c>
      <c r="BC224" s="24">
        <f t="shared" si="88"/>
        <v>3.7880268840958036</v>
      </c>
      <c r="BD224" s="24">
        <v>2117</v>
      </c>
      <c r="BE224" s="23">
        <v>473</v>
      </c>
      <c r="BF224" s="23">
        <f>STDEVP(BE223:BE224)</f>
        <v>73.5</v>
      </c>
      <c r="BG224" s="23">
        <v>0.45092024539877301</v>
      </c>
      <c r="BH224" s="23">
        <v>2.4534467555371128E-2</v>
      </c>
      <c r="BI224" s="23">
        <v>1.6078121917537977E-2</v>
      </c>
      <c r="BJ224" s="23">
        <v>5.9649338238828342E-2</v>
      </c>
      <c r="BK224" s="23">
        <v>0.52595357102056739</v>
      </c>
      <c r="BL224" s="23">
        <v>326</v>
      </c>
      <c r="BM224" s="22">
        <v>1218</v>
      </c>
      <c r="BN224" s="22">
        <f>STDEVP(BM223:BM224)</f>
        <v>155.5</v>
      </c>
      <c r="BO224" s="22">
        <v>3.0856472882968564</v>
      </c>
      <c r="BP224" s="22">
        <v>0.14754694124772866</v>
      </c>
      <c r="BQ224" s="22">
        <v>1.8903537169538753E-2</v>
      </c>
      <c r="BR224" s="22">
        <v>1.2755319297865145E-2</v>
      </c>
      <c r="BS224" s="22">
        <v>-329</v>
      </c>
      <c r="BT224" s="22">
        <v>2.5171958979499744</v>
      </c>
      <c r="BU224" s="22">
        <v>1.7065200477203175E-2</v>
      </c>
      <c r="BV224" s="23">
        <v>2296</v>
      </c>
      <c r="BW224" s="23">
        <v>800</v>
      </c>
      <c r="BX224" s="22"/>
      <c r="BY224" s="22"/>
      <c r="BZ224" s="25"/>
      <c r="CA224" s="23">
        <v>3.9305854754660308E-2</v>
      </c>
      <c r="CB224" s="23">
        <v>3.9305854754660308</v>
      </c>
      <c r="CC224" s="23">
        <v>0.59445724498766661</v>
      </c>
      <c r="CD224" s="23">
        <v>6.0688564775993499E-2</v>
      </c>
      <c r="CE224" s="23">
        <v>2.6867542601332471E-2</v>
      </c>
      <c r="CH224" s="26">
        <v>18.309999999999999</v>
      </c>
      <c r="CI224" s="26">
        <v>28.62</v>
      </c>
      <c r="CJ224" s="26">
        <v>1.2626883443016965</v>
      </c>
      <c r="CK224" s="26">
        <v>1.4566696294237576</v>
      </c>
      <c r="CL224" s="26">
        <v>-0.36023759608665273</v>
      </c>
      <c r="CM224" s="27">
        <v>22.615402298850572</v>
      </c>
      <c r="CN224" s="27">
        <v>-0.19701858825065877</v>
      </c>
      <c r="CQ224" s="27">
        <v>115.89653846153851</v>
      </c>
      <c r="CR224" s="27">
        <v>-7.3560292322686169E-2</v>
      </c>
      <c r="CS224" s="27">
        <v>0.92888888888888932</v>
      </c>
      <c r="CT224" s="27">
        <v>0.92386973180076604</v>
      </c>
      <c r="CU224" s="27">
        <v>5.4327541160378483E-3</v>
      </c>
      <c r="CX224" s="36">
        <v>0.66</v>
      </c>
      <c r="CY224" s="28">
        <v>0.76</v>
      </c>
      <c r="CZ224" s="29">
        <v>31.998965519999999</v>
      </c>
      <c r="DA224" s="27">
        <v>-0.14155277889515908</v>
      </c>
      <c r="DB224" s="27">
        <v>2.6347679627304119</v>
      </c>
      <c r="DC224" s="27">
        <v>2.5105365885464708</v>
      </c>
      <c r="DD224" s="27">
        <v>1</v>
      </c>
      <c r="DE224" s="27">
        <v>1.8</v>
      </c>
      <c r="DF224" s="27">
        <v>88.9</v>
      </c>
      <c r="DG224" s="28">
        <v>4.4875121425198587</v>
      </c>
      <c r="DH224" s="27">
        <v>0.90083999999999997</v>
      </c>
      <c r="DI224" s="27">
        <v>2.4</v>
      </c>
      <c r="DJ224" s="27">
        <v>2.2000000000000002</v>
      </c>
      <c r="DK224" s="27">
        <v>2</v>
      </c>
      <c r="DL224" s="27">
        <v>1.6216043547496031E-2</v>
      </c>
      <c r="DM224" s="27">
        <v>0.79400000000000004</v>
      </c>
      <c r="DN224" s="28">
        <v>1.1231</v>
      </c>
      <c r="DO224" s="28">
        <v>-3.2227488151658851E-2</v>
      </c>
      <c r="DP224" s="28">
        <v>-0.16675411900514214</v>
      </c>
      <c r="DQ224" s="27">
        <v>0.17130000000000001</v>
      </c>
      <c r="DR224" s="27">
        <v>3.9305854754660308E-2</v>
      </c>
      <c r="DS224" s="27">
        <v>2.6867542601332471E-2</v>
      </c>
      <c r="DT224" s="27">
        <v>6.0688564775993471E-2</v>
      </c>
      <c r="DU224" s="30">
        <v>5.9865389999999996</v>
      </c>
      <c r="DV224">
        <v>0.9</v>
      </c>
      <c r="DW224">
        <v>2.8</v>
      </c>
      <c r="DX224">
        <v>85.7</v>
      </c>
      <c r="DY224">
        <v>82.9</v>
      </c>
      <c r="DZ224">
        <v>2.4</v>
      </c>
      <c r="EA224">
        <v>2</v>
      </c>
      <c r="EB224">
        <v>1.4781599999999999</v>
      </c>
    </row>
    <row r="225" spans="1:132" ht="18">
      <c r="A225" s="14" t="s">
        <v>171</v>
      </c>
      <c r="B225" s="14">
        <v>3</v>
      </c>
      <c r="C225" s="14" t="s">
        <v>150</v>
      </c>
      <c r="D225" s="14" t="s">
        <v>148</v>
      </c>
      <c r="E225" s="14" t="s">
        <v>145</v>
      </c>
      <c r="F225" s="15">
        <v>2483</v>
      </c>
      <c r="G225" s="15">
        <v>3.3949767195545641</v>
      </c>
      <c r="H225" s="15">
        <v>1268</v>
      </c>
      <c r="I225" s="15">
        <v>45</v>
      </c>
      <c r="J225" s="16">
        <v>1170</v>
      </c>
      <c r="K225" s="16">
        <v>1</v>
      </c>
      <c r="L225" s="17">
        <v>0.11588183133429784</v>
      </c>
      <c r="M225" s="18">
        <v>43</v>
      </c>
      <c r="P225" s="18">
        <v>2</v>
      </c>
      <c r="Q225" s="18">
        <f t="shared" si="99"/>
        <v>1.6666666666666667</v>
      </c>
      <c r="R225" s="18">
        <v>43</v>
      </c>
      <c r="S225" s="18">
        <v>5</v>
      </c>
      <c r="T225" s="19">
        <v>4037</v>
      </c>
      <c r="U225" s="19">
        <v>3.6060587494103142</v>
      </c>
      <c r="V225" s="18">
        <v>21847</v>
      </c>
      <c r="W225" s="20">
        <v>4.33939180867959</v>
      </c>
      <c r="X225" s="20">
        <v>0.3772643285154294</v>
      </c>
      <c r="Y225" s="20">
        <v>0.18589570389999999</v>
      </c>
      <c r="Z225" s="20">
        <f t="shared" si="86"/>
        <v>-0.73073064677507715</v>
      </c>
      <c r="AA225" s="20"/>
      <c r="AB225" s="20"/>
      <c r="AC225" s="20">
        <v>688</v>
      </c>
      <c r="AD225" s="21">
        <v>344</v>
      </c>
      <c r="AE225" s="21">
        <f t="shared" si="94"/>
        <v>1.6054510664115368E-2</v>
      </c>
      <c r="AF225" s="21">
        <f t="shared" si="95"/>
        <v>2.53655844257153</v>
      </c>
      <c r="AG225" s="22">
        <v>1.5261119148737574E-2</v>
      </c>
      <c r="AH225" s="22">
        <v>327</v>
      </c>
      <c r="AI225" s="22"/>
      <c r="AJ225" s="23">
        <v>57909</v>
      </c>
      <c r="AK225" s="23">
        <f t="shared" si="93"/>
        <v>4.7627460653956142</v>
      </c>
      <c r="AL225" s="24">
        <v>0.363399046</v>
      </c>
      <c r="AM225" s="22">
        <f>6722+9395</f>
        <v>16117</v>
      </c>
      <c r="AN225" s="22">
        <f t="shared" si="100"/>
        <v>0.75218182666728894</v>
      </c>
      <c r="AO225" s="23">
        <v>4.9149338374291113E-2</v>
      </c>
      <c r="AP225" s="33">
        <v>6.11234E-3</v>
      </c>
      <c r="AQ225" s="23">
        <v>-0.21379249605262821</v>
      </c>
      <c r="AR225" s="23">
        <v>21427</v>
      </c>
      <c r="AS225" s="23">
        <v>4.3309613696115914</v>
      </c>
      <c r="AT225" s="23">
        <v>4.2850845033352192</v>
      </c>
      <c r="AU225" s="22">
        <v>0.82799999999999996</v>
      </c>
      <c r="AV225" s="22">
        <v>0.1775894539</v>
      </c>
      <c r="AW225" s="22"/>
      <c r="AX225" s="22"/>
      <c r="AY225" s="22"/>
      <c r="AZ225" s="24">
        <v>11109</v>
      </c>
      <c r="BA225" s="24">
        <f t="shared" si="87"/>
        <v>4.0456749667691048</v>
      </c>
      <c r="BB225" s="24">
        <v>8347</v>
      </c>
      <c r="BC225" s="24">
        <f t="shared" si="88"/>
        <v>3.9215304135012423</v>
      </c>
      <c r="BD225" s="24">
        <v>2762</v>
      </c>
      <c r="BE225" s="23">
        <v>546</v>
      </c>
      <c r="BF225" s="23">
        <f t="shared" ref="BF225:BF235" si="101">STDEVP(BE224:BE225)</f>
        <v>36.5</v>
      </c>
      <c r="BG225" s="23">
        <v>0.15433403805496829</v>
      </c>
      <c r="BH225" s="23">
        <v>2.5481868670369161E-2</v>
      </c>
      <c r="BI225" s="23">
        <v>2.4534467555371128E-2</v>
      </c>
      <c r="BJ225" s="23">
        <v>5.9649338238828342E-2</v>
      </c>
      <c r="BK225" s="23">
        <v>3.861510802546949E-2</v>
      </c>
      <c r="BL225" s="23">
        <v>473</v>
      </c>
      <c r="BM225" s="22">
        <v>938</v>
      </c>
      <c r="BN225" s="22">
        <f t="shared" ref="BN225:BN234" si="102">STDEVP(BM224:BM225)</f>
        <v>140</v>
      </c>
      <c r="BO225" s="22">
        <v>2.9722028383790646</v>
      </c>
      <c r="BP225" s="22">
        <v>8.4436042848141143E-2</v>
      </c>
      <c r="BQ225" s="22">
        <v>3.1555449199793729E-2</v>
      </c>
      <c r="BR225" s="22">
        <v>1.8903537169538753E-2</v>
      </c>
      <c r="BS225" s="22">
        <v>-1153</v>
      </c>
      <c r="BT225" s="22">
        <v>3.0618293072946989</v>
      </c>
      <c r="BU225" s="22">
        <v>5.3810612778270407E-2</v>
      </c>
      <c r="BV225" s="23">
        <v>1426</v>
      </c>
      <c r="BW225" s="22">
        <v>943</v>
      </c>
      <c r="BX225" s="22"/>
      <c r="BY225" s="22"/>
      <c r="BZ225" s="25"/>
      <c r="CA225" s="23">
        <v>2.6867542601332471E-2</v>
      </c>
      <c r="CB225" s="23">
        <v>2.686754260133247</v>
      </c>
      <c r="CC225" s="23">
        <v>0.4292279461694487</v>
      </c>
      <c r="CD225" s="23">
        <v>3.9305854754660308E-2</v>
      </c>
      <c r="CE225" s="23">
        <v>3.2347817198611614E-2</v>
      </c>
      <c r="CH225" s="26">
        <v>13.29</v>
      </c>
      <c r="CI225" s="26">
        <v>18.309999999999999</v>
      </c>
      <c r="CJ225" s="26">
        <v>1.1235249809427319</v>
      </c>
      <c r="CK225" s="26">
        <v>1.2626883443016965</v>
      </c>
      <c r="CL225" s="26">
        <v>-0.27416712179137082</v>
      </c>
      <c r="CM225" s="27">
        <v>16.030268199233717</v>
      </c>
      <c r="CN225" s="27">
        <v>-0.29117917128326054</v>
      </c>
      <c r="CQ225" s="27">
        <v>102.09153846153851</v>
      </c>
      <c r="CR225" s="27">
        <v>-0.11911486040268011</v>
      </c>
      <c r="CS225" s="27">
        <v>0.9859003831417622</v>
      </c>
      <c r="CT225" s="27">
        <v>0.92888888888888899</v>
      </c>
      <c r="CU225" s="27">
        <v>6.1376010559312889E-2</v>
      </c>
      <c r="CV225" s="27">
        <v>1.140877862595419</v>
      </c>
      <c r="CW225" s="27">
        <v>2.0572391532349976</v>
      </c>
      <c r="CX225" s="36">
        <v>1.07</v>
      </c>
      <c r="CY225" s="28">
        <v>0.66</v>
      </c>
      <c r="CZ225" s="29">
        <v>18.886297710000001</v>
      </c>
      <c r="DA225" s="27">
        <v>-0.40978411635852152</v>
      </c>
      <c r="DB225" s="27">
        <v>266.87708664986224</v>
      </c>
      <c r="DC225" s="27">
        <v>2.6347679627304119</v>
      </c>
      <c r="DD225" s="27">
        <v>1</v>
      </c>
      <c r="DE225" s="27">
        <v>2</v>
      </c>
      <c r="DF225" s="27">
        <v>90.4</v>
      </c>
      <c r="DG225" s="28">
        <v>4.5042442673981311</v>
      </c>
      <c r="DH225" s="27">
        <v>0.91725999999999996</v>
      </c>
      <c r="DI225" s="27">
        <v>2.2999999999999998</v>
      </c>
      <c r="DJ225" s="27">
        <v>2.4</v>
      </c>
      <c r="DK225" s="27">
        <v>2.1</v>
      </c>
      <c r="DL225" s="27">
        <v>1.3035848693861207E-2</v>
      </c>
      <c r="DM225" s="27">
        <v>0.73780000000000001</v>
      </c>
      <c r="DN225" s="28">
        <v>0.95269999999999999</v>
      </c>
      <c r="DO225" s="28">
        <v>-0.15172290980322323</v>
      </c>
      <c r="DP225" s="28">
        <v>-7.0780856423173832E-2</v>
      </c>
      <c r="DQ225" s="27">
        <v>0.11370000000000002</v>
      </c>
      <c r="DR225" s="27">
        <v>2.6867542601332471E-2</v>
      </c>
      <c r="DS225" s="27">
        <v>3.2347817198611614E-2</v>
      </c>
      <c r="DT225" s="27">
        <v>3.9305854754660308E-2</v>
      </c>
      <c r="DU225" s="30">
        <v>5.5230399999999999</v>
      </c>
      <c r="DV225">
        <v>0.3</v>
      </c>
      <c r="DW225">
        <v>2.6</v>
      </c>
      <c r="DX225">
        <v>88</v>
      </c>
      <c r="DY225">
        <v>85.1</v>
      </c>
      <c r="DZ225">
        <v>2</v>
      </c>
      <c r="EA225">
        <v>1.5</v>
      </c>
      <c r="EB225">
        <v>1.913224</v>
      </c>
    </row>
    <row r="226" spans="1:132" ht="18">
      <c r="A226" s="14" t="s">
        <v>171</v>
      </c>
      <c r="B226" s="14">
        <v>4</v>
      </c>
      <c r="C226" s="14" t="s">
        <v>150</v>
      </c>
      <c r="D226" s="14" t="s">
        <v>148</v>
      </c>
      <c r="E226" s="14" t="s">
        <v>145</v>
      </c>
      <c r="F226" s="15">
        <v>3363.5</v>
      </c>
      <c r="G226" s="15">
        <v>3.5267914320188209</v>
      </c>
      <c r="H226" s="15">
        <v>1790.8</v>
      </c>
      <c r="I226" s="15">
        <v>0</v>
      </c>
      <c r="J226" s="16">
        <v>1572.7</v>
      </c>
      <c r="K226" s="16">
        <v>1</v>
      </c>
      <c r="L226" s="17">
        <v>0.13537390324398293</v>
      </c>
      <c r="M226" s="18">
        <v>43</v>
      </c>
      <c r="P226" s="18">
        <v>2</v>
      </c>
      <c r="Q226" s="18">
        <f t="shared" si="99"/>
        <v>1.6666666666666667</v>
      </c>
      <c r="R226" s="18">
        <v>43</v>
      </c>
      <c r="S226" s="18">
        <v>5</v>
      </c>
      <c r="T226" s="19">
        <v>3732</v>
      </c>
      <c r="U226" s="19">
        <v>3.5719416350744622</v>
      </c>
      <c r="V226" s="18">
        <v>15481</v>
      </c>
      <c r="W226" s="20">
        <v>4.1897990106398266</v>
      </c>
      <c r="X226" s="20">
        <v>0.26346153846153847</v>
      </c>
      <c r="Y226" s="20">
        <v>0.2474442379</v>
      </c>
      <c r="Z226" s="20">
        <f t="shared" si="86"/>
        <v>-0.6065226549155468</v>
      </c>
      <c r="AA226" s="20"/>
      <c r="AB226" s="20"/>
      <c r="AC226" s="20">
        <v>1065</v>
      </c>
      <c r="AD226" s="21">
        <v>332</v>
      </c>
      <c r="AE226" s="21">
        <f t="shared" si="94"/>
        <v>1.3362311840940191E-2</v>
      </c>
      <c r="AF226" s="21">
        <f t="shared" si="95"/>
        <v>2.5211380837040362</v>
      </c>
      <c r="AG226" s="22">
        <v>1.3201320132013201E-2</v>
      </c>
      <c r="AH226" s="22">
        <v>328</v>
      </c>
      <c r="AI226" s="22"/>
      <c r="AJ226" s="23">
        <v>58760</v>
      </c>
      <c r="AK226" s="23">
        <f t="shared" si="93"/>
        <v>4.7690817871182185</v>
      </c>
      <c r="AL226" s="24">
        <v>0.36859259300000002</v>
      </c>
      <c r="AM226" s="22">
        <f>8179+10077</f>
        <v>18256</v>
      </c>
      <c r="AN226" s="22">
        <f t="shared" si="100"/>
        <v>0.73476615954278357</v>
      </c>
      <c r="AO226" s="23">
        <v>0.11298765432098766</v>
      </c>
      <c r="AP226" s="33">
        <v>1.818225E-2</v>
      </c>
      <c r="AQ226" s="23">
        <v>0.25964762487721865</v>
      </c>
      <c r="AR226" s="23">
        <v>24846</v>
      </c>
      <c r="AS226" s="23">
        <v>4.3952564808860215</v>
      </c>
      <c r="AT226" s="23">
        <v>4.3309613696115914</v>
      </c>
      <c r="AU226" s="22">
        <v>0.85</v>
      </c>
      <c r="AV226" s="22">
        <v>0.30591805770000002</v>
      </c>
      <c r="AW226" s="22"/>
      <c r="AX226" s="22"/>
      <c r="AY226" s="22"/>
      <c r="AZ226" s="24">
        <v>10125</v>
      </c>
      <c r="BA226" s="24">
        <f t="shared" si="87"/>
        <v>4.0053950318867058</v>
      </c>
      <c r="BB226" s="24">
        <v>7852</v>
      </c>
      <c r="BC226" s="24">
        <f t="shared" si="88"/>
        <v>3.8949802909279687</v>
      </c>
      <c r="BD226" s="24">
        <v>2273</v>
      </c>
      <c r="BE226" s="23">
        <v>1144</v>
      </c>
      <c r="BF226" s="23">
        <f t="shared" si="101"/>
        <v>299</v>
      </c>
      <c r="BG226" s="23">
        <v>1.0952380952380953</v>
      </c>
      <c r="BH226" s="23">
        <v>4.6043628753119216E-2</v>
      </c>
      <c r="BI226" s="23">
        <v>2.5481868670369161E-2</v>
      </c>
      <c r="BJ226" s="23">
        <v>5.9649338238828342E-2</v>
      </c>
      <c r="BK226" s="23">
        <v>0.80691727709356309</v>
      </c>
      <c r="BL226" s="23">
        <v>546</v>
      </c>
      <c r="BM226" s="22">
        <v>770</v>
      </c>
      <c r="BN226" s="22">
        <f t="shared" si="102"/>
        <v>84</v>
      </c>
      <c r="BO226" s="22">
        <v>2.8864907251724818</v>
      </c>
      <c r="BP226" s="22">
        <v>7.6049382716049385E-2</v>
      </c>
      <c r="BQ226" s="22">
        <v>4.1933300660458792E-3</v>
      </c>
      <c r="BR226" s="22">
        <v>3.1555449199793729E-2</v>
      </c>
      <c r="BS226" s="22">
        <v>-739</v>
      </c>
      <c r="BT226" s="22">
        <v>2.8686444383948255</v>
      </c>
      <c r="BU226" s="22">
        <v>2.9743218224261452E-2</v>
      </c>
      <c r="BV226" s="23">
        <v>1131</v>
      </c>
      <c r="BW226" s="22">
        <v>2016</v>
      </c>
      <c r="BX226" s="22"/>
      <c r="BY226" s="22"/>
      <c r="BZ226" s="25"/>
      <c r="CA226" s="23">
        <v>3.2347817198611614E-2</v>
      </c>
      <c r="CB226" s="23">
        <v>3.2347817198611613</v>
      </c>
      <c r="CC226" s="23">
        <v>0.50984498019539259</v>
      </c>
      <c r="CD226" s="23">
        <v>2.6867542601332471E-2</v>
      </c>
      <c r="CE226" s="23">
        <v>2.4490842135800685E-2</v>
      </c>
      <c r="CH226" s="26">
        <v>12.07</v>
      </c>
      <c r="CI226" s="26">
        <v>13.29</v>
      </c>
      <c r="CJ226" s="26">
        <v>1.0817072700973491</v>
      </c>
      <c r="CK226" s="26">
        <v>1.1235249809427319</v>
      </c>
      <c r="CL226" s="26">
        <v>-9.1798344620014974E-2</v>
      </c>
      <c r="CM226" s="27">
        <v>13.248115384615385</v>
      </c>
      <c r="CN226" s="27">
        <v>-0.17355622376619531</v>
      </c>
      <c r="CQ226" s="27">
        <v>81.715444015443992</v>
      </c>
      <c r="CR226" s="27">
        <v>-0.1995865157206041</v>
      </c>
      <c r="CS226" s="27">
        <v>0.91873076923076902</v>
      </c>
      <c r="CT226" s="27">
        <v>0.9859003831417622</v>
      </c>
      <c r="CU226" s="27">
        <v>-6.8130223965370842E-2</v>
      </c>
      <c r="CV226" s="27">
        <v>1.0315769230769232</v>
      </c>
      <c r="CW226" s="27">
        <v>2.0135016181765906</v>
      </c>
      <c r="CX226" s="36">
        <v>0.94</v>
      </c>
      <c r="CY226" s="28">
        <v>1.07</v>
      </c>
      <c r="CZ226" s="29">
        <v>14.03142308</v>
      </c>
      <c r="DA226" s="27">
        <v>-0.25705803776615366</v>
      </c>
      <c r="DB226" s="27">
        <v>1.72976924253802</v>
      </c>
      <c r="DC226" s="27">
        <v>266.87708664986224</v>
      </c>
      <c r="DD226" s="27">
        <v>1</v>
      </c>
      <c r="DE226" s="27">
        <v>1.2</v>
      </c>
      <c r="DF226" s="27">
        <v>92.1</v>
      </c>
      <c r="DG226" s="28">
        <v>4.5228749432612609</v>
      </c>
      <c r="DH226" s="27">
        <v>0.93069000000000002</v>
      </c>
      <c r="DI226" s="27">
        <v>2.2000000000000002</v>
      </c>
      <c r="DJ226" s="27">
        <v>1.4</v>
      </c>
      <c r="DK226" s="27">
        <v>1.5</v>
      </c>
      <c r="DL226" s="27">
        <v>8.4498661866614921E-3</v>
      </c>
      <c r="DM226" s="27">
        <v>0.84399999999999997</v>
      </c>
      <c r="DN226" s="28">
        <v>0.79300000000000004</v>
      </c>
      <c r="DO226" s="28">
        <v>-0.167628844337147</v>
      </c>
      <c r="DP226" s="28">
        <v>0.14394144754676058</v>
      </c>
      <c r="DQ226" s="27">
        <v>0.11509999999999998</v>
      </c>
      <c r="DR226" s="27">
        <v>3.2347817198611614E-2</v>
      </c>
      <c r="DS226" s="27">
        <v>2.4490842135800685E-2</v>
      </c>
      <c r="DT226" s="27">
        <v>2.6867542601332471E-2</v>
      </c>
      <c r="DU226" s="30">
        <v>5.0767810000000004</v>
      </c>
      <c r="DV226">
        <v>-0.3</v>
      </c>
      <c r="DW226">
        <v>0.7</v>
      </c>
      <c r="DX226">
        <v>90.9</v>
      </c>
      <c r="DY226">
        <v>87.4</v>
      </c>
      <c r="DZ226">
        <v>1.6</v>
      </c>
      <c r="EA226">
        <v>1</v>
      </c>
      <c r="EB226">
        <v>2.1595819999999999</v>
      </c>
    </row>
    <row r="227" spans="1:132" ht="18">
      <c r="A227" s="14" t="s">
        <v>171</v>
      </c>
      <c r="B227" s="14">
        <v>5</v>
      </c>
      <c r="C227" s="14" t="s">
        <v>150</v>
      </c>
      <c r="D227" s="14" t="s">
        <v>148</v>
      </c>
      <c r="E227" s="14" t="s">
        <v>145</v>
      </c>
      <c r="F227" s="15">
        <v>1692</v>
      </c>
      <c r="G227" s="15">
        <v>3.2284003587030048</v>
      </c>
      <c r="H227" s="15">
        <v>654</v>
      </c>
      <c r="I227" s="15">
        <v>25</v>
      </c>
      <c r="J227" s="16">
        <v>1013</v>
      </c>
      <c r="K227" s="16">
        <v>1</v>
      </c>
      <c r="L227" s="17">
        <v>6.5345846367744181E-2</v>
      </c>
      <c r="M227" s="18">
        <v>43</v>
      </c>
      <c r="P227" s="18">
        <v>2</v>
      </c>
      <c r="Q227" s="18">
        <f t="shared" si="99"/>
        <v>1.6666666666666667</v>
      </c>
      <c r="R227" s="18">
        <v>43</v>
      </c>
      <c r="S227" s="18">
        <v>5</v>
      </c>
      <c r="T227" s="19">
        <v>4169</v>
      </c>
      <c r="U227" s="19">
        <v>3.6200318951262975</v>
      </c>
      <c r="V227" s="20">
        <v>16415</v>
      </c>
      <c r="W227" s="20">
        <v>4.2152408870653586</v>
      </c>
      <c r="X227" s="20">
        <v>0.26860957929014417</v>
      </c>
      <c r="Y227" s="20">
        <v>0.22072975140000001</v>
      </c>
      <c r="Z227" s="20">
        <f t="shared" si="86"/>
        <v>-0.65613912584138001</v>
      </c>
      <c r="AA227" s="20"/>
      <c r="AB227" s="20"/>
      <c r="AC227" s="20">
        <v>1101</v>
      </c>
      <c r="AD227" s="21">
        <v>322</v>
      </c>
      <c r="AE227" s="21">
        <f t="shared" si="94"/>
        <v>1.2435793457691267E-2</v>
      </c>
      <c r="AF227" s="21">
        <f t="shared" si="95"/>
        <v>2.5078558716958308</v>
      </c>
      <c r="AG227" s="22">
        <v>1.371026918472174E-2</v>
      </c>
      <c r="AH227" s="22">
        <v>355</v>
      </c>
      <c r="AI227" s="22"/>
      <c r="AJ227" s="23">
        <v>61111</v>
      </c>
      <c r="AK227" s="23">
        <f t="shared" si="93"/>
        <v>4.7861193904278707</v>
      </c>
      <c r="AL227" s="24">
        <v>0.38377980299999997</v>
      </c>
      <c r="AM227" s="22">
        <f>8352+10526</f>
        <v>18878</v>
      </c>
      <c r="AN227" s="22">
        <f t="shared" si="100"/>
        <v>0.72907735681458308</v>
      </c>
      <c r="AO227" s="23">
        <v>6.1861364264015464E-2</v>
      </c>
      <c r="AP227" s="33">
        <v>1.9736066E-2</v>
      </c>
      <c r="AQ227" s="23">
        <v>0.29526058882196532</v>
      </c>
      <c r="AR227" s="23">
        <v>25893</v>
      </c>
      <c r="AS227" s="23">
        <v>4.4131823713296505</v>
      </c>
      <c r="AT227" s="23">
        <v>4.3952564808860215</v>
      </c>
      <c r="AU227" s="22">
        <v>0.83899999999999997</v>
      </c>
      <c r="AV227" s="22">
        <v>0.30202394529999999</v>
      </c>
      <c r="AW227" s="22"/>
      <c r="AX227" s="22"/>
      <c r="AY227" s="22"/>
      <c r="AZ227" s="24">
        <v>10863</v>
      </c>
      <c r="BA227" s="24">
        <f t="shared" si="87"/>
        <v>4.0359497795366739</v>
      </c>
      <c r="BB227" s="24">
        <v>8698</v>
      </c>
      <c r="BC227" s="24">
        <f t="shared" si="88"/>
        <v>3.9394194033293171</v>
      </c>
      <c r="BD227" s="24">
        <v>2165</v>
      </c>
      <c r="BE227" s="23">
        <v>672</v>
      </c>
      <c r="BF227" s="23">
        <f t="shared" si="101"/>
        <v>236</v>
      </c>
      <c r="BG227" s="23">
        <v>-0.41258741258741261</v>
      </c>
      <c r="BH227" s="23">
        <v>2.5952960259529603E-2</v>
      </c>
      <c r="BI227" s="23">
        <v>4.6043628753119216E-2</v>
      </c>
      <c r="BJ227" s="23">
        <v>5.9649338238828342E-2</v>
      </c>
      <c r="BK227" s="23">
        <v>-0.43633981590185972</v>
      </c>
      <c r="BL227" s="23">
        <v>1144</v>
      </c>
      <c r="BM227" s="22">
        <v>797</v>
      </c>
      <c r="BN227" s="22">
        <f t="shared" si="102"/>
        <v>13.5</v>
      </c>
      <c r="BO227" s="22">
        <v>2.9014583213961123</v>
      </c>
      <c r="BP227" s="22">
        <v>7.3368314461935008E-2</v>
      </c>
      <c r="BQ227" s="22">
        <v>1.3405341270571886E-3</v>
      </c>
      <c r="BR227" s="22">
        <v>4.1933300660458792E-3</v>
      </c>
      <c r="BS227" s="22">
        <v>-953</v>
      </c>
      <c r="BT227" s="22">
        <v>2.9790929006383262</v>
      </c>
      <c r="BU227" s="22">
        <v>3.6805314177576952E-2</v>
      </c>
      <c r="BV227" s="23">
        <v>1317</v>
      </c>
      <c r="BW227" s="22">
        <v>2119</v>
      </c>
      <c r="BX227" s="22">
        <v>558.2038</v>
      </c>
      <c r="BY227" s="22">
        <v>2.7467927886438588</v>
      </c>
      <c r="BZ227" s="25"/>
      <c r="CA227" s="23">
        <v>2.4490842135800685E-2</v>
      </c>
      <c r="CB227" s="23">
        <v>2.4490842135800683</v>
      </c>
      <c r="CC227" s="23">
        <v>0.38900371891986085</v>
      </c>
      <c r="CD227" s="23">
        <v>3.2347817198611614E-2</v>
      </c>
      <c r="CE227" s="23">
        <v>2.77430650961079E-2</v>
      </c>
      <c r="CH227" s="26">
        <v>11.56</v>
      </c>
      <c r="CI227" s="26">
        <v>12.07</v>
      </c>
      <c r="CJ227" s="26">
        <v>1.0629578340845103</v>
      </c>
      <c r="CK227" s="26">
        <v>1.0817072700973491</v>
      </c>
      <c r="CL227" s="26">
        <v>-4.2253521126760542E-2</v>
      </c>
      <c r="CM227" s="27">
        <v>13.296884615384608</v>
      </c>
      <c r="CN227" s="27">
        <v>3.681220260646025E-3</v>
      </c>
      <c r="CQ227" s="27">
        <v>67.989575289575299</v>
      </c>
      <c r="CR227" s="27">
        <v>-0.167971536975</v>
      </c>
      <c r="CS227" s="27">
        <v>0.84238461538461584</v>
      </c>
      <c r="CT227" s="27">
        <v>0.91873076923076902</v>
      </c>
      <c r="CU227" s="27">
        <v>-8.3099593921379125E-2</v>
      </c>
      <c r="CV227" s="27">
        <v>0.92230769230769172</v>
      </c>
      <c r="CW227" s="27">
        <v>1.9648758307920116</v>
      </c>
      <c r="CX227" s="36">
        <v>0.56000000000000005</v>
      </c>
      <c r="CY227" s="28">
        <v>0.94</v>
      </c>
      <c r="CZ227" s="29">
        <v>16.52657692</v>
      </c>
      <c r="DA227" s="27">
        <v>0.17782614249273998</v>
      </c>
      <c r="DB227" s="27">
        <v>1.322681365714484</v>
      </c>
      <c r="DC227" s="27">
        <v>1.72976924253802</v>
      </c>
      <c r="DD227" s="27">
        <v>1</v>
      </c>
      <c r="DE227" s="27">
        <v>0.7</v>
      </c>
      <c r="DF227" s="27">
        <v>94.1</v>
      </c>
      <c r="DG227" s="28">
        <v>4.5443580465913342</v>
      </c>
      <c r="DH227" s="27">
        <v>0.94418000000000002</v>
      </c>
      <c r="DI227" s="27">
        <v>1.9</v>
      </c>
      <c r="DJ227" s="27">
        <v>1.6</v>
      </c>
      <c r="DK227" s="27">
        <v>1.8</v>
      </c>
      <c r="DL227" s="27">
        <v>7.6672365931182819E-3</v>
      </c>
      <c r="DM227" s="27">
        <v>0.75770000000000004</v>
      </c>
      <c r="DN227" s="28">
        <v>0.74250000000000005</v>
      </c>
      <c r="DO227" s="28">
        <v>-6.3682219419924316E-2</v>
      </c>
      <c r="DP227" s="28">
        <v>-0.10225118483412314</v>
      </c>
      <c r="DQ227" s="27">
        <v>9.7799999999999998E-2</v>
      </c>
      <c r="DR227" s="27">
        <v>2.4490842135800685E-2</v>
      </c>
      <c r="DS227" s="27">
        <v>2.77430650961079E-2</v>
      </c>
      <c r="DT227" s="27">
        <v>3.2347817198611614E-2</v>
      </c>
      <c r="DU227" s="30">
        <v>4.6174650000000002</v>
      </c>
      <c r="DV227">
        <v>-0.5</v>
      </c>
      <c r="DW227">
        <v>-0.4</v>
      </c>
      <c r="DX227">
        <v>93.7</v>
      </c>
      <c r="DY227">
        <v>89.8</v>
      </c>
      <c r="DZ227">
        <v>1.6</v>
      </c>
      <c r="EA227">
        <v>1.7</v>
      </c>
      <c r="EB227">
        <v>2.2385109999999999</v>
      </c>
    </row>
    <row r="228" spans="1:132" ht="18">
      <c r="A228" s="14" t="s">
        <v>171</v>
      </c>
      <c r="B228" s="14">
        <v>6</v>
      </c>
      <c r="C228" s="14" t="s">
        <v>150</v>
      </c>
      <c r="D228" s="14" t="s">
        <v>148</v>
      </c>
      <c r="E228" s="14" t="s">
        <v>145</v>
      </c>
      <c r="F228" s="15">
        <v>4642</v>
      </c>
      <c r="G228" s="15">
        <v>3.6667051361198988</v>
      </c>
      <c r="H228" s="15">
        <v>1645</v>
      </c>
      <c r="I228" s="15">
        <v>161</v>
      </c>
      <c r="J228" s="16">
        <v>2242</v>
      </c>
      <c r="K228" s="16">
        <v>1</v>
      </c>
      <c r="L228" s="17">
        <v>0.15132351023601512</v>
      </c>
      <c r="M228" s="18">
        <v>43</v>
      </c>
      <c r="P228" s="18">
        <v>2</v>
      </c>
      <c r="Q228" s="18">
        <f t="shared" si="99"/>
        <v>1.6666666666666667</v>
      </c>
      <c r="R228" s="18">
        <v>43</v>
      </c>
      <c r="S228" s="18">
        <v>5</v>
      </c>
      <c r="T228" s="19">
        <v>5203</v>
      </c>
      <c r="U228" s="19">
        <v>3.7162538258960365</v>
      </c>
      <c r="V228" s="20">
        <v>18803</v>
      </c>
      <c r="W228" s="20">
        <v>4.2742271460457699</v>
      </c>
      <c r="X228" s="20">
        <v>0.28670539621548269</v>
      </c>
      <c r="Y228" s="20">
        <v>0.38823190079999997</v>
      </c>
      <c r="Z228" s="20">
        <f t="shared" si="86"/>
        <v>-0.4109087817446912</v>
      </c>
      <c r="AA228" s="20"/>
      <c r="AB228" s="20"/>
      <c r="AC228" s="20">
        <v>2692</v>
      </c>
      <c r="AD228" s="21">
        <v>2052</v>
      </c>
      <c r="AE228" s="21">
        <f t="shared" si="94"/>
        <v>6.6892684835050203E-2</v>
      </c>
      <c r="AF228" s="21">
        <f t="shared" si="95"/>
        <v>3.3121773564397787</v>
      </c>
      <c r="AG228" s="22">
        <v>1.3724083974442561E-2</v>
      </c>
      <c r="AH228" s="22">
        <v>421</v>
      </c>
      <c r="AI228" s="22">
        <v>3.7276259380000001</v>
      </c>
      <c r="AJ228" s="23">
        <v>65583</v>
      </c>
      <c r="AK228" s="23">
        <f t="shared" si="93"/>
        <v>4.8167912789641179</v>
      </c>
      <c r="AL228" s="24">
        <v>0.43638346099999997</v>
      </c>
      <c r="AM228" s="22">
        <f>11951+11261</f>
        <v>23212</v>
      </c>
      <c r="AN228" s="22">
        <f t="shared" si="100"/>
        <v>0.75668274872864782</v>
      </c>
      <c r="AO228" s="23">
        <v>7.3974670804327763E-2</v>
      </c>
      <c r="AP228" s="33">
        <v>2.5736539999999999E-2</v>
      </c>
      <c r="AQ228" s="23">
        <v>0.41055016028744346</v>
      </c>
      <c r="AR228" s="23">
        <v>30676</v>
      </c>
      <c r="AS228" s="23">
        <v>4.4867987290975941</v>
      </c>
      <c r="AT228" s="23">
        <v>4.4131823713296505</v>
      </c>
      <c r="AU228" s="22">
        <v>1.2649999999999999</v>
      </c>
      <c r="AV228" s="22">
        <v>0.65849410500000005</v>
      </c>
      <c r="AW228" s="22">
        <v>27.823</v>
      </c>
      <c r="AX228" s="22"/>
      <c r="AY228" s="22">
        <v>1</v>
      </c>
      <c r="AZ228" s="24">
        <v>11923</v>
      </c>
      <c r="BA228" s="24">
        <f t="shared" si="87"/>
        <v>4.0763855439545331</v>
      </c>
      <c r="BB228" s="24">
        <v>9183</v>
      </c>
      <c r="BC228" s="24">
        <f t="shared" si="88"/>
        <v>3.9629845843169971</v>
      </c>
      <c r="BD228" s="24">
        <v>2740</v>
      </c>
      <c r="BE228" s="23">
        <v>882</v>
      </c>
      <c r="BF228" s="23">
        <f t="shared" si="101"/>
        <v>105</v>
      </c>
      <c r="BG228" s="23">
        <v>0.3125</v>
      </c>
      <c r="BH228" s="23">
        <v>2.8752118920328595E-2</v>
      </c>
      <c r="BI228" s="23">
        <v>2.5952960259529603E-2</v>
      </c>
      <c r="BJ228" s="23">
        <v>5.9649338238828342E-2</v>
      </c>
      <c r="BK228" s="23">
        <v>0.10785508214891114</v>
      </c>
      <c r="BL228" s="23">
        <v>672</v>
      </c>
      <c r="BM228" s="22">
        <v>722</v>
      </c>
      <c r="BN228" s="22">
        <f t="shared" si="102"/>
        <v>37.5</v>
      </c>
      <c r="BO228" s="22">
        <v>2.858537197569639</v>
      </c>
      <c r="BP228" s="22">
        <v>6.0555229388576701E-2</v>
      </c>
      <c r="BQ228" s="22">
        <v>6.4065425366791537E-3</v>
      </c>
      <c r="BR228" s="22">
        <v>1.3405341270571886E-3</v>
      </c>
      <c r="BS228" s="22">
        <v>-2796</v>
      </c>
      <c r="BT228" s="22">
        <v>3.446537167073644</v>
      </c>
      <c r="BU228" s="22">
        <v>9.1146172903898814E-2</v>
      </c>
      <c r="BV228" s="23">
        <v>1274</v>
      </c>
      <c r="BW228" s="22">
        <v>4915</v>
      </c>
      <c r="BX228" s="22">
        <v>746.9</v>
      </c>
      <c r="BY228" s="22">
        <v>2.8732624594387266</v>
      </c>
      <c r="BZ228" s="25">
        <v>0.33804176897398402</v>
      </c>
      <c r="CA228" s="23">
        <v>2.77430650961079E-2</v>
      </c>
      <c r="CB228" s="23">
        <v>2.7743065096107902</v>
      </c>
      <c r="CC228" s="23">
        <v>0.44315444090415423</v>
      </c>
      <c r="CD228" s="23">
        <v>2.4490842135800685E-2</v>
      </c>
      <c r="CE228" s="23">
        <v>5.0662060808238797E-2</v>
      </c>
      <c r="CH228" s="26">
        <v>22.5</v>
      </c>
      <c r="CI228" s="26">
        <v>11.56</v>
      </c>
      <c r="CJ228" s="26">
        <v>1.3521825181113625</v>
      </c>
      <c r="CK228" s="26">
        <v>1.0629578340845103</v>
      </c>
      <c r="CL228" s="26">
        <v>0.94636678200692037</v>
      </c>
      <c r="CM228" s="27">
        <v>18.34360153256705</v>
      </c>
      <c r="CN228" s="27">
        <v>0.37954130333231201</v>
      </c>
      <c r="CQ228" s="27">
        <v>77.833846153846167</v>
      </c>
      <c r="CR228" s="27">
        <v>0.14479088628430173</v>
      </c>
      <c r="CS228" s="27">
        <v>0.72605363984674265</v>
      </c>
      <c r="CT228" s="27">
        <v>0.84238461538461584</v>
      </c>
      <c r="CU228" s="27">
        <v>-0.13809722235342442</v>
      </c>
      <c r="CV228" s="27">
        <v>0.78180076628352502</v>
      </c>
      <c r="CW228" s="27">
        <v>1.8930960917710087</v>
      </c>
      <c r="CX228" s="36">
        <v>0.88</v>
      </c>
      <c r="CY228" s="28">
        <v>0.56000000000000005</v>
      </c>
      <c r="CZ228" s="29">
        <v>19.614636019999999</v>
      </c>
      <c r="DA228" s="27">
        <v>0.18685412683753744</v>
      </c>
      <c r="DB228" s="27">
        <v>2.3607257116750975</v>
      </c>
      <c r="DC228" s="27">
        <v>1.322681365714484</v>
      </c>
      <c r="DD228" s="27">
        <v>1</v>
      </c>
      <c r="DE228" s="27">
        <v>0</v>
      </c>
      <c r="DF228" s="27">
        <v>96.5</v>
      </c>
      <c r="DG228" s="28">
        <v>4.5695430083449402</v>
      </c>
      <c r="DH228" s="27">
        <v>0.95938999999999997</v>
      </c>
      <c r="DI228" s="27">
        <v>1.9</v>
      </c>
      <c r="DJ228" s="27">
        <v>1.7</v>
      </c>
      <c r="DK228" s="27">
        <v>1.8</v>
      </c>
      <c r="DL228" s="27">
        <v>1.679984422560547E-2</v>
      </c>
      <c r="DM228" s="27">
        <v>0.6855</v>
      </c>
      <c r="DN228" s="28">
        <v>0.84760000000000002</v>
      </c>
      <c r="DO228" s="28">
        <v>0.14154882154882151</v>
      </c>
      <c r="DP228" s="28">
        <v>-9.5288372706876123E-2</v>
      </c>
      <c r="DQ228" s="27">
        <v>0.10279999999999989</v>
      </c>
      <c r="DR228" s="27">
        <v>2.77430650961079E-2</v>
      </c>
      <c r="DS228" s="27">
        <v>5.0662060808238797E-2</v>
      </c>
      <c r="DT228" s="27">
        <v>2.4490842135800685E-2</v>
      </c>
      <c r="DU228" s="30">
        <v>4.6191050000000002</v>
      </c>
      <c r="DV228">
        <v>-0.9</v>
      </c>
      <c r="DW228">
        <v>-0.7</v>
      </c>
      <c r="DX228">
        <v>96.2</v>
      </c>
      <c r="DY228">
        <v>92.4</v>
      </c>
      <c r="DZ228">
        <v>2.1</v>
      </c>
      <c r="EA228">
        <v>1.9</v>
      </c>
      <c r="EB228">
        <v>2.1588159999999998</v>
      </c>
    </row>
    <row r="229" spans="1:132" ht="18">
      <c r="A229" s="14" t="s">
        <v>171</v>
      </c>
      <c r="B229" s="14">
        <v>7</v>
      </c>
      <c r="C229" s="14" t="s">
        <v>150</v>
      </c>
      <c r="D229" s="14" t="s">
        <v>148</v>
      </c>
      <c r="E229" s="14" t="s">
        <v>145</v>
      </c>
      <c r="F229" s="15">
        <v>7001</v>
      </c>
      <c r="G229" s="15">
        <v>3.8451600776519457</v>
      </c>
      <c r="H229" s="15">
        <v>3420</v>
      </c>
      <c r="I229" s="15">
        <v>166</v>
      </c>
      <c r="J229" s="16">
        <v>3415</v>
      </c>
      <c r="K229" s="16">
        <v>1</v>
      </c>
      <c r="L229" s="17">
        <v>0.20208405495901166</v>
      </c>
      <c r="M229" s="18">
        <v>43</v>
      </c>
      <c r="P229" s="18">
        <v>2</v>
      </c>
      <c r="Q229" s="18">
        <f t="shared" si="99"/>
        <v>1.6666666666666667</v>
      </c>
      <c r="R229" s="18">
        <v>43</v>
      </c>
      <c r="S229" s="18">
        <v>5</v>
      </c>
      <c r="T229" s="19">
        <v>2682</v>
      </c>
      <c r="U229" s="19">
        <v>3.42845877351558</v>
      </c>
      <c r="V229" s="20">
        <v>24566</v>
      </c>
      <c r="W229" s="20">
        <v>4.3903344475118518</v>
      </c>
      <c r="X229" s="20">
        <v>0.32574853475482007</v>
      </c>
      <c r="Y229" s="20">
        <v>0.37989479840000001</v>
      </c>
      <c r="Z229" s="20">
        <f t="shared" si="86"/>
        <v>-0.42033665285655242</v>
      </c>
      <c r="AA229" s="20"/>
      <c r="AB229" s="20"/>
      <c r="AC229" s="20">
        <v>650</v>
      </c>
      <c r="AD229" s="21">
        <v>2205</v>
      </c>
      <c r="AE229" s="21">
        <f t="shared" si="94"/>
        <v>6.3647384828541737E-2</v>
      </c>
      <c r="AF229" s="21">
        <f t="shared" si="95"/>
        <v>3.3434085938038574</v>
      </c>
      <c r="AG229" s="22">
        <v>1.3075857291305854E-2</v>
      </c>
      <c r="AH229" s="22">
        <v>453</v>
      </c>
      <c r="AI229" s="22">
        <v>1.7011793749999999</v>
      </c>
      <c r="AJ229" s="23">
        <v>75414</v>
      </c>
      <c r="AK229" s="23">
        <f t="shared" si="93"/>
        <v>4.8774519766171069</v>
      </c>
      <c r="AL229" s="24">
        <v>0.33156138000000002</v>
      </c>
      <c r="AM229" s="22">
        <f>11795+15558</f>
        <v>27353</v>
      </c>
      <c r="AN229" s="22">
        <f t="shared" si="100"/>
        <v>0.78954508717238192</v>
      </c>
      <c r="AO229" s="23">
        <v>6.1565088391642972E-2</v>
      </c>
      <c r="AP229" s="33">
        <v>4.0435066999999998E-2</v>
      </c>
      <c r="AQ229" s="23">
        <v>0.60675816706345653</v>
      </c>
      <c r="AR229" s="23">
        <v>34644</v>
      </c>
      <c r="AS229" s="23">
        <v>4.5396280299283456</v>
      </c>
      <c r="AT229" s="23">
        <v>4.4867987290975941</v>
      </c>
      <c r="AU229" s="22">
        <v>1.7270000000000001</v>
      </c>
      <c r="AV229" s="22">
        <v>0.91360394950000001</v>
      </c>
      <c r="AW229" s="22">
        <v>12.404999999999999</v>
      </c>
      <c r="AX229" s="22">
        <v>27.823</v>
      </c>
      <c r="AY229" s="22">
        <v>1</v>
      </c>
      <c r="AZ229" s="24">
        <v>8089</v>
      </c>
      <c r="BA229" s="24">
        <f t="shared" si="87"/>
        <v>3.907894835416283</v>
      </c>
      <c r="BB229" s="24">
        <v>7221</v>
      </c>
      <c r="BC229" s="24">
        <f t="shared" si="88"/>
        <v>3.8585973449946924</v>
      </c>
      <c r="BD229" s="24">
        <v>868</v>
      </c>
      <c r="BE229" s="23">
        <v>498</v>
      </c>
      <c r="BF229" s="23">
        <f t="shared" si="101"/>
        <v>192</v>
      </c>
      <c r="BG229" s="23">
        <v>-0.43537414965986393</v>
      </c>
      <c r="BH229" s="23">
        <v>1.4374783512296501E-2</v>
      </c>
      <c r="BI229" s="23">
        <v>2.8752118920328595E-2</v>
      </c>
      <c r="BJ229" s="23">
        <v>5.9649338238828342E-2</v>
      </c>
      <c r="BK229" s="23">
        <v>-0.50004437752470809</v>
      </c>
      <c r="BL229" s="23">
        <v>882</v>
      </c>
      <c r="BM229" s="22">
        <v>81</v>
      </c>
      <c r="BN229" s="22">
        <f t="shared" si="102"/>
        <v>320.5</v>
      </c>
      <c r="BO229" s="22">
        <v>1.9084850188786497</v>
      </c>
      <c r="BP229" s="22">
        <v>1.0013598714303375E-2</v>
      </c>
      <c r="BQ229" s="22">
        <v>2.5270815337136661E-2</v>
      </c>
      <c r="BR229" s="22">
        <v>6.4065425366791537E-3</v>
      </c>
      <c r="BS229" s="22">
        <v>-1259</v>
      </c>
      <c r="BT229" s="22">
        <v>3.1000257301078626</v>
      </c>
      <c r="BU229" s="22">
        <v>3.6341069160605012E-2</v>
      </c>
      <c r="BV229" s="23">
        <v>257</v>
      </c>
      <c r="BW229" s="22">
        <v>6662</v>
      </c>
      <c r="BX229" s="22">
        <v>339.4479</v>
      </c>
      <c r="BY229" s="22">
        <v>2.5307731262487865</v>
      </c>
      <c r="BZ229" s="25">
        <v>-0.5455243004418262</v>
      </c>
      <c r="CA229" s="23">
        <v>5.0662060808238797E-2</v>
      </c>
      <c r="CB229" s="23">
        <v>5.0662060808238794</v>
      </c>
      <c r="CC229" s="23">
        <v>0.70468285184700785</v>
      </c>
      <c r="CD229" s="23">
        <v>2.77430650961079E-2</v>
      </c>
      <c r="CE229" s="23">
        <v>3.802148779895468E-2</v>
      </c>
      <c r="CH229" s="26">
        <v>40</v>
      </c>
      <c r="CI229" s="26">
        <v>22.5</v>
      </c>
      <c r="CJ229" s="26">
        <v>1.6020599913279623</v>
      </c>
      <c r="CK229" s="26">
        <v>1.3521825181113625</v>
      </c>
      <c r="CL229" s="26">
        <v>0.77777777777777779</v>
      </c>
      <c r="CM229" s="27">
        <v>34.430804597701169</v>
      </c>
      <c r="CN229" s="27">
        <v>0.87699261437690179</v>
      </c>
      <c r="CO229" s="27">
        <v>14.00272</v>
      </c>
      <c r="CQ229" s="27">
        <v>141.16230769230771</v>
      </c>
      <c r="CR229" s="27">
        <v>0.81363654332700808</v>
      </c>
      <c r="CS229" s="27">
        <v>1.4151340996168575</v>
      </c>
      <c r="CT229" s="27">
        <v>0.72605363984674265</v>
      </c>
      <c r="CU229" s="27">
        <v>0.94907651715039654</v>
      </c>
      <c r="CV229" s="27">
        <v>1.549389312977099</v>
      </c>
      <c r="CW229" s="27">
        <v>2.1901605560639821</v>
      </c>
      <c r="CX229" s="36">
        <v>2.34</v>
      </c>
      <c r="CY229" s="28">
        <v>0.88</v>
      </c>
      <c r="CZ229" s="29">
        <v>33.709007630000002</v>
      </c>
      <c r="DA229" s="27">
        <v>0.71856401493398725</v>
      </c>
      <c r="DB229" s="27">
        <v>3.1430399491928545</v>
      </c>
      <c r="DC229" s="27">
        <v>2.3607257116750975</v>
      </c>
      <c r="DD229" s="27">
        <v>1</v>
      </c>
      <c r="DE229" s="27">
        <v>-0.4</v>
      </c>
      <c r="DF229" s="27">
        <v>98.8</v>
      </c>
      <c r="DG229" s="28">
        <v>4.5930976047538223</v>
      </c>
      <c r="DH229" s="27">
        <v>0.97638000000000003</v>
      </c>
      <c r="DI229" s="27">
        <v>1.8</v>
      </c>
      <c r="DJ229" s="27">
        <v>1.8</v>
      </c>
      <c r="DK229" s="27">
        <v>2</v>
      </c>
      <c r="DL229" s="27">
        <v>4.1965997035105826E-2</v>
      </c>
      <c r="DM229" s="27">
        <v>0.71560000000000001</v>
      </c>
      <c r="DN229" s="28">
        <v>0.75849999999999995</v>
      </c>
      <c r="DO229" s="28">
        <v>-0.10512033978291654</v>
      </c>
      <c r="DP229" s="28">
        <v>4.3909555069292512E-2</v>
      </c>
      <c r="DQ229" s="27">
        <v>0.17789999999999995</v>
      </c>
      <c r="DR229" s="27">
        <v>5.0662060808238797E-2</v>
      </c>
      <c r="DS229" s="27">
        <v>3.802148779895468E-2</v>
      </c>
      <c r="DT229" s="27">
        <v>2.77430650961079E-2</v>
      </c>
      <c r="DU229" s="30">
        <v>5.7984980000000004</v>
      </c>
      <c r="DV229">
        <v>-1</v>
      </c>
      <c r="DW229">
        <v>0.7</v>
      </c>
      <c r="DX229">
        <v>98</v>
      </c>
      <c r="DY229">
        <v>95</v>
      </c>
      <c r="DZ229">
        <v>1.6</v>
      </c>
      <c r="EA229">
        <v>1.7</v>
      </c>
      <c r="EB229">
        <v>2.0603549999999999</v>
      </c>
    </row>
    <row r="230" spans="1:132" ht="18">
      <c r="A230" s="14" t="s">
        <v>171</v>
      </c>
      <c r="B230" s="14">
        <v>8</v>
      </c>
      <c r="C230" s="14" t="s">
        <v>150</v>
      </c>
      <c r="D230" s="14" t="s">
        <v>148</v>
      </c>
      <c r="E230" s="14" t="s">
        <v>145</v>
      </c>
      <c r="F230" s="15">
        <v>7705</v>
      </c>
      <c r="G230" s="15">
        <v>3.8867726430544383</v>
      </c>
      <c r="H230" s="15">
        <v>2987</v>
      </c>
      <c r="I230" s="15">
        <v>284</v>
      </c>
      <c r="J230" s="16">
        <v>4434</v>
      </c>
      <c r="K230" s="16">
        <v>1</v>
      </c>
      <c r="L230" s="17">
        <v>0.21373092926490986</v>
      </c>
      <c r="M230" s="18">
        <v>43</v>
      </c>
      <c r="P230" s="18">
        <v>2</v>
      </c>
      <c r="Q230" s="18">
        <f t="shared" si="99"/>
        <v>1.6666666666666667</v>
      </c>
      <c r="R230" s="18">
        <v>43</v>
      </c>
      <c r="S230" s="18">
        <v>5</v>
      </c>
      <c r="T230" s="19">
        <v>3095</v>
      </c>
      <c r="U230" s="19">
        <v>3.4906606533561368</v>
      </c>
      <c r="V230" s="20">
        <v>25160</v>
      </c>
      <c r="W230" s="20">
        <v>4.4007106367732316</v>
      </c>
      <c r="X230" s="20">
        <v>0.52617270008574357</v>
      </c>
      <c r="Y230" s="20">
        <v>0.3954762738</v>
      </c>
      <c r="Z230" s="20">
        <f t="shared" si="86"/>
        <v>-0.40287956644398892</v>
      </c>
      <c r="AA230" s="20"/>
      <c r="AB230" s="20"/>
      <c r="AC230" s="20">
        <v>3392</v>
      </c>
      <c r="AD230" s="21">
        <v>2052</v>
      </c>
      <c r="AE230" s="21">
        <f t="shared" si="94"/>
        <v>5.6920943134535371E-2</v>
      </c>
      <c r="AF230" s="21">
        <f t="shared" si="95"/>
        <v>3.3121773564397787</v>
      </c>
      <c r="AG230" s="22">
        <v>9.5977808599167821E-3</v>
      </c>
      <c r="AH230" s="22">
        <v>346</v>
      </c>
      <c r="AI230" s="22">
        <v>1.6332189070000001</v>
      </c>
      <c r="AJ230" s="23">
        <v>47817</v>
      </c>
      <c r="AK230" s="23">
        <f t="shared" si="93"/>
        <v>4.6795823253490623</v>
      </c>
      <c r="AL230" s="24">
        <v>0.362879587</v>
      </c>
      <c r="AM230" s="22">
        <f>13408+15068</f>
        <v>28476</v>
      </c>
      <c r="AN230" s="22">
        <f t="shared" si="100"/>
        <v>0.78990291262135925</v>
      </c>
      <c r="AO230" s="23">
        <v>6.2961660218079488E-2</v>
      </c>
      <c r="AP230" s="33">
        <v>1.4762178000000001E-2</v>
      </c>
      <c r="AQ230" s="23">
        <v>0.169150437676723</v>
      </c>
      <c r="AR230" s="23">
        <v>36050</v>
      </c>
      <c r="AS230" s="23">
        <v>4.5569052690554477</v>
      </c>
      <c r="AT230" s="23">
        <v>4.5396280299283456</v>
      </c>
      <c r="AU230" s="22">
        <v>1.536</v>
      </c>
      <c r="AV230" s="22">
        <v>1.022049115</v>
      </c>
      <c r="AW230" s="22">
        <v>12.37</v>
      </c>
      <c r="AX230" s="22">
        <v>12.404999999999999</v>
      </c>
      <c r="AY230" s="22">
        <v>1</v>
      </c>
      <c r="AZ230" s="24">
        <v>8529</v>
      </c>
      <c r="BA230" s="24">
        <f t="shared" si="87"/>
        <v>3.9308981144101045</v>
      </c>
      <c r="BB230" s="24">
        <v>7508</v>
      </c>
      <c r="BC230" s="24">
        <f t="shared" si="88"/>
        <v>3.8755242639493086</v>
      </c>
      <c r="BD230" s="24">
        <v>1021</v>
      </c>
      <c r="BE230" s="23">
        <v>537</v>
      </c>
      <c r="BF230" s="23">
        <f t="shared" si="101"/>
        <v>19.5</v>
      </c>
      <c r="BG230" s="23">
        <v>7.8313253012048195E-2</v>
      </c>
      <c r="BH230" s="23">
        <v>1.4895977808599168E-2</v>
      </c>
      <c r="BI230" s="23">
        <v>1.4374783512296501E-2</v>
      </c>
      <c r="BJ230" s="23">
        <v>5.9649338238828342E-2</v>
      </c>
      <c r="BK230" s="23">
        <v>3.6257540564477123E-2</v>
      </c>
      <c r="BL230" s="23">
        <v>498</v>
      </c>
      <c r="BM230" s="22">
        <v>160</v>
      </c>
      <c r="BN230" s="22">
        <f t="shared" si="102"/>
        <v>39.5</v>
      </c>
      <c r="BO230" s="22">
        <v>2.2041199826559246</v>
      </c>
      <c r="BP230" s="22">
        <v>1.875952632196037E-2</v>
      </c>
      <c r="BQ230" s="22">
        <v>4.3729638038284965E-3</v>
      </c>
      <c r="BR230" s="22">
        <v>2.5270815337136661E-2</v>
      </c>
      <c r="BS230" s="22">
        <v>-379</v>
      </c>
      <c r="BT230" s="22">
        <v>2.5786392099680722</v>
      </c>
      <c r="BU230" s="22">
        <v>1.0513176144244105E-2</v>
      </c>
      <c r="BV230" s="23">
        <v>737</v>
      </c>
      <c r="BW230" s="22">
        <v>7741</v>
      </c>
      <c r="BX230" s="22">
        <v>355.827</v>
      </c>
      <c r="BY230" s="22">
        <v>2.55123889907708</v>
      </c>
      <c r="BZ230" s="25">
        <v>4.8252176549037407E-2</v>
      </c>
      <c r="CA230" s="23">
        <v>3.802148779895468E-2</v>
      </c>
      <c r="CB230" s="23">
        <v>3.8021487798954681</v>
      </c>
      <c r="CC230" s="23">
        <v>0.58002910701217281</v>
      </c>
      <c r="CD230" s="23">
        <v>5.0662060808238797E-2</v>
      </c>
      <c r="CE230" s="23">
        <v>3.4239891893164551E-2</v>
      </c>
      <c r="CH230" s="26">
        <v>21.68</v>
      </c>
      <c r="CI230" s="26">
        <v>40</v>
      </c>
      <c r="CJ230" s="26">
        <v>1.3360592778663494</v>
      </c>
      <c r="CK230" s="26">
        <v>1.6020599913279623</v>
      </c>
      <c r="CL230" s="26">
        <v>-0.45800000000000002</v>
      </c>
      <c r="CM230" s="27">
        <v>32.806781609195411</v>
      </c>
      <c r="CN230" s="27">
        <v>-4.7167732717294325E-2</v>
      </c>
      <c r="CO230" s="27">
        <v>14.6873913</v>
      </c>
      <c r="CP230" s="27">
        <v>4.8895593141903844E-2</v>
      </c>
      <c r="CQ230" s="27">
        <v>128.33115384615388</v>
      </c>
      <c r="CR230" s="27">
        <v>-9.0896458522922177E-2</v>
      </c>
      <c r="CS230" s="27">
        <v>1.3546743295019157</v>
      </c>
      <c r="CT230" s="27">
        <v>1.4151340996168575</v>
      </c>
      <c r="CU230" s="27">
        <v>-4.272370380397951E-2</v>
      </c>
      <c r="CV230" s="27">
        <v>1.5608045977011498</v>
      </c>
      <c r="CW230" s="27">
        <v>2.1933485357004661</v>
      </c>
      <c r="CX230" s="36">
        <v>1.03</v>
      </c>
      <c r="CY230" s="28">
        <v>2.34</v>
      </c>
      <c r="CZ230" s="29">
        <v>33.580881230000003</v>
      </c>
      <c r="DA230" s="27">
        <v>-3.8009543741646867E-3</v>
      </c>
      <c r="DB230" s="27">
        <v>1.4102002336892525</v>
      </c>
      <c r="DC230" s="27">
        <v>3.1430399491928545</v>
      </c>
      <c r="DD230" s="27">
        <v>1</v>
      </c>
      <c r="DE230" s="27">
        <v>2.4</v>
      </c>
      <c r="DF230" s="27">
        <v>98.9</v>
      </c>
      <c r="DG230" s="28">
        <v>4.5941092386286666</v>
      </c>
      <c r="DH230" s="27">
        <v>0.99031999999999998</v>
      </c>
      <c r="DI230" s="27">
        <v>2</v>
      </c>
      <c r="DJ230" s="27">
        <v>3.5</v>
      </c>
      <c r="DK230" s="27">
        <v>2.6</v>
      </c>
      <c r="DL230" s="27">
        <v>2.4369778879479467E-2</v>
      </c>
      <c r="DM230" s="27">
        <v>0.69779999999999998</v>
      </c>
      <c r="DN230" s="28">
        <v>0.68400000000000005</v>
      </c>
      <c r="DO230" s="28">
        <v>-9.8220171390902972E-2</v>
      </c>
      <c r="DP230" s="28">
        <v>-2.487423141419793E-2</v>
      </c>
      <c r="DQ230" s="27">
        <v>0.13560000000000005</v>
      </c>
      <c r="DR230" s="27">
        <v>3.802148779895468E-2</v>
      </c>
      <c r="DS230" s="27">
        <v>3.4239891893164551E-2</v>
      </c>
      <c r="DT230" s="27">
        <v>5.0662060808238797E-2</v>
      </c>
      <c r="DU230" s="30">
        <v>9.2708490000000001</v>
      </c>
      <c r="DV230">
        <v>2.2000000000000002</v>
      </c>
      <c r="DW230">
        <v>2.6</v>
      </c>
      <c r="DX230">
        <v>98.8</v>
      </c>
      <c r="DY230">
        <v>96.9</v>
      </c>
      <c r="DZ230">
        <v>1.3</v>
      </c>
      <c r="EA230">
        <v>2.5</v>
      </c>
      <c r="EB230">
        <v>1.1868369999999999</v>
      </c>
    </row>
    <row r="231" spans="1:132" ht="18">
      <c r="A231" s="14" t="s">
        <v>171</v>
      </c>
      <c r="B231" s="14">
        <v>9</v>
      </c>
      <c r="C231" s="14" t="s">
        <v>150</v>
      </c>
      <c r="D231" s="14" t="s">
        <v>148</v>
      </c>
      <c r="E231" s="14" t="s">
        <v>145</v>
      </c>
      <c r="F231" s="15">
        <v>7356</v>
      </c>
      <c r="G231" s="15">
        <v>3.8666417205660397</v>
      </c>
      <c r="H231" s="15">
        <v>1857</v>
      </c>
      <c r="I231" s="15">
        <v>292</v>
      </c>
      <c r="J231" s="16">
        <v>5207</v>
      </c>
      <c r="K231" s="16">
        <v>1</v>
      </c>
      <c r="L231" s="17">
        <v>0.21298280155191385</v>
      </c>
      <c r="M231" s="18">
        <v>43</v>
      </c>
      <c r="P231" s="18">
        <v>2</v>
      </c>
      <c r="Q231" s="18">
        <f t="shared" si="99"/>
        <v>1.6666666666666667</v>
      </c>
      <c r="R231" s="18">
        <v>43</v>
      </c>
      <c r="S231" s="18">
        <v>5</v>
      </c>
      <c r="T231" s="19">
        <v>3293</v>
      </c>
      <c r="U231" s="19">
        <v>3.5175917307119078</v>
      </c>
      <c r="V231" s="20">
        <v>10580</v>
      </c>
      <c r="W231" s="20">
        <v>4.0244856676991674</v>
      </c>
      <c r="X231" s="20">
        <v>0.22110300725167709</v>
      </c>
      <c r="Y231" s="20">
        <v>0.39501060500000001</v>
      </c>
      <c r="Z231" s="20">
        <f t="shared" si="86"/>
        <v>-0.40339124454783182</v>
      </c>
      <c r="AA231" s="20"/>
      <c r="AB231" s="20"/>
      <c r="AC231" s="20">
        <v>3911</v>
      </c>
      <c r="AD231" s="21">
        <v>2129</v>
      </c>
      <c r="AE231" s="21">
        <f t="shared" si="94"/>
        <v>6.1642249116914703E-2</v>
      </c>
      <c r="AF231" s="21">
        <f t="shared" si="95"/>
        <v>3.3281756614383227</v>
      </c>
      <c r="AG231" s="22">
        <v>1.0249580172563553E-2</v>
      </c>
      <c r="AH231" s="22">
        <v>354</v>
      </c>
      <c r="AI231" s="22">
        <v>1.4429943620000001</v>
      </c>
      <c r="AJ231" s="23">
        <v>47851</v>
      </c>
      <c r="AK231" s="23">
        <f t="shared" si="93"/>
        <v>4.6798910181827447</v>
      </c>
      <c r="AL231" s="24">
        <v>0.36170913900000001</v>
      </c>
      <c r="AM231" s="22">
        <f>14210+10749</f>
        <v>24959</v>
      </c>
      <c r="AN231" s="22">
        <f t="shared" si="100"/>
        <v>0.72265330939834382</v>
      </c>
      <c r="AO231" s="23">
        <v>0.10830404217926186</v>
      </c>
      <c r="AP231" s="33">
        <v>5.6655500000000005E-4</v>
      </c>
      <c r="AQ231" s="23">
        <v>-1.2467579233344663</v>
      </c>
      <c r="AR231" s="23">
        <v>34538</v>
      </c>
      <c r="AS231" s="23">
        <v>4.5382971851679743</v>
      </c>
      <c r="AT231" s="23">
        <v>4.5569052690554477</v>
      </c>
      <c r="AU231" s="22">
        <v>1.204</v>
      </c>
      <c r="AV231" s="22">
        <v>0.75589893509999995</v>
      </c>
      <c r="AW231" s="22">
        <v>13.821</v>
      </c>
      <c r="AX231" s="22">
        <v>12.37</v>
      </c>
      <c r="AY231" s="22">
        <v>1</v>
      </c>
      <c r="AZ231" s="24">
        <v>9104</v>
      </c>
      <c r="BA231" s="24">
        <f t="shared" si="87"/>
        <v>3.9592322490509959</v>
      </c>
      <c r="BB231" s="24">
        <v>7824</v>
      </c>
      <c r="BC231" s="24">
        <f t="shared" si="88"/>
        <v>3.8934288417795448</v>
      </c>
      <c r="BD231" s="24">
        <v>1280</v>
      </c>
      <c r="BE231" s="23">
        <v>986</v>
      </c>
      <c r="BF231" s="23">
        <f t="shared" si="101"/>
        <v>224.5</v>
      </c>
      <c r="BG231" s="23">
        <v>0.83612662942271876</v>
      </c>
      <c r="BH231" s="23">
        <v>2.8548265678383231E-2</v>
      </c>
      <c r="BI231" s="23">
        <v>1.4895977808599168E-2</v>
      </c>
      <c r="BJ231" s="23">
        <v>5.9649338238828342E-2</v>
      </c>
      <c r="BK231" s="23">
        <v>0.91650833837190959</v>
      </c>
      <c r="BL231" s="23">
        <v>537</v>
      </c>
      <c r="BM231" s="22">
        <v>588</v>
      </c>
      <c r="BN231" s="22">
        <f t="shared" si="102"/>
        <v>214</v>
      </c>
      <c r="BO231" s="22">
        <v>2.7693773260761385</v>
      </c>
      <c r="BP231" s="22">
        <v>6.4586994727592273E-2</v>
      </c>
      <c r="BQ231" s="22">
        <v>2.2913734202815946E-2</v>
      </c>
      <c r="BR231" s="22">
        <v>4.3729638038284965E-3</v>
      </c>
      <c r="BS231" s="22">
        <v>-621</v>
      </c>
      <c r="BT231" s="22">
        <v>2.79309160017658</v>
      </c>
      <c r="BU231" s="22">
        <v>1.7980195726446234E-2</v>
      </c>
      <c r="BV231" s="23">
        <v>1152</v>
      </c>
      <c r="BW231" s="22">
        <v>7240</v>
      </c>
      <c r="BX231" s="22">
        <v>37.159125000000003</v>
      </c>
      <c r="BY231" s="22">
        <v>1.5700654789452393</v>
      </c>
      <c r="BZ231" s="25">
        <v>-0.89556968695461558</v>
      </c>
      <c r="CA231" s="23">
        <v>3.4239891893164551E-2</v>
      </c>
      <c r="CB231" s="23">
        <v>3.4239891893164551</v>
      </c>
      <c r="CC231" s="23">
        <v>0.53453238479377774</v>
      </c>
      <c r="CD231" s="23">
        <v>3.802148779895468E-2</v>
      </c>
      <c r="CE231" s="23">
        <v>2.4180879115385762E-2</v>
      </c>
      <c r="CH231" s="26">
        <v>17.75</v>
      </c>
      <c r="CI231" s="26">
        <v>21.68</v>
      </c>
      <c r="CJ231" s="26">
        <v>1.249198357391113</v>
      </c>
      <c r="CK231" s="26">
        <v>1.3360592778663494</v>
      </c>
      <c r="CL231" s="26">
        <v>-0.18127306273062729</v>
      </c>
      <c r="CM231" s="27">
        <v>23.674061302682002</v>
      </c>
      <c r="CN231" s="27">
        <v>-0.27837903806917774</v>
      </c>
      <c r="CO231" s="27">
        <v>13.17284585</v>
      </c>
      <c r="CP231" s="27">
        <v>-0.10311875125162628</v>
      </c>
      <c r="CQ231" s="27">
        <v>93.814615384615436</v>
      </c>
      <c r="CR231" s="27">
        <v>-0.26896460779054171</v>
      </c>
      <c r="CS231" s="27">
        <v>1.0575095785440605</v>
      </c>
      <c r="CT231" s="27">
        <v>1.3546743295019157</v>
      </c>
      <c r="CU231" s="27">
        <v>-0.21936250247475808</v>
      </c>
      <c r="CV231" s="27">
        <v>1.2699233716475098</v>
      </c>
      <c r="CW231" s="27">
        <v>2.1037775160152683</v>
      </c>
      <c r="CX231" s="36">
        <v>0.92</v>
      </c>
      <c r="CY231" s="28">
        <v>1.03</v>
      </c>
      <c r="CZ231" s="29">
        <v>26.404674329999999</v>
      </c>
      <c r="DA231" s="27">
        <v>-0.21369918349816944</v>
      </c>
      <c r="DB231" s="27">
        <v>3.3676575479931978</v>
      </c>
      <c r="DC231" s="27">
        <v>1.4102002336892525</v>
      </c>
      <c r="DD231" s="27">
        <v>1</v>
      </c>
      <c r="DE231" s="27">
        <v>2.2999999999999998</v>
      </c>
      <c r="DF231" s="27">
        <v>100</v>
      </c>
      <c r="DG231" s="28">
        <v>4.6051701859880918</v>
      </c>
      <c r="DH231" s="27">
        <v>1</v>
      </c>
      <c r="DI231" s="27">
        <v>1.8</v>
      </c>
      <c r="DJ231" s="27">
        <v>2</v>
      </c>
      <c r="DK231" s="27">
        <v>2.5</v>
      </c>
      <c r="DL231" s="27">
        <v>2.4833477735949187E-2</v>
      </c>
      <c r="DM231" s="27">
        <v>0.74709999999999999</v>
      </c>
      <c r="DN231" s="28">
        <v>0.71719999999999995</v>
      </c>
      <c r="DO231" s="28">
        <v>4.8538011695906276E-2</v>
      </c>
      <c r="DP231" s="28">
        <v>7.0650616222413323E-2</v>
      </c>
      <c r="DQ231" s="27">
        <v>0.14990000000000003</v>
      </c>
      <c r="DR231" s="27">
        <v>3.4239891893164551E-2</v>
      </c>
      <c r="DS231" s="27">
        <v>2.4180879115385762E-2</v>
      </c>
      <c r="DT231" s="27">
        <v>3.802148779895468E-2</v>
      </c>
      <c r="DU231" s="30">
        <v>9.6228090000000002</v>
      </c>
      <c r="DV231">
        <v>2.7</v>
      </c>
      <c r="DW231">
        <v>2.9</v>
      </c>
      <c r="DX231">
        <v>100</v>
      </c>
      <c r="DY231">
        <v>100</v>
      </c>
      <c r="DZ231">
        <v>0.2</v>
      </c>
      <c r="EA231">
        <v>2</v>
      </c>
      <c r="EB231">
        <v>1.2855829999999999</v>
      </c>
    </row>
    <row r="232" spans="1:132" ht="18">
      <c r="A232" s="14" t="s">
        <v>171</v>
      </c>
      <c r="B232" s="14">
        <v>10</v>
      </c>
      <c r="C232" s="14" t="s">
        <v>150</v>
      </c>
      <c r="D232" s="14" t="s">
        <v>148</v>
      </c>
      <c r="E232" s="14" t="s">
        <v>145</v>
      </c>
      <c r="F232" s="15">
        <v>7043</v>
      </c>
      <c r="G232" s="15">
        <v>3.8477576883923312</v>
      </c>
      <c r="H232" s="15">
        <v>2110</v>
      </c>
      <c r="I232" s="15">
        <v>563</v>
      </c>
      <c r="J232" s="16">
        <v>4370</v>
      </c>
      <c r="K232" s="16">
        <v>1</v>
      </c>
      <c r="L232" s="17">
        <v>0.22550589139344263</v>
      </c>
      <c r="M232" s="18">
        <v>43</v>
      </c>
      <c r="P232" s="18">
        <v>2</v>
      </c>
      <c r="Q232" s="18">
        <f t="shared" si="99"/>
        <v>1.6666666666666667</v>
      </c>
      <c r="R232" s="18">
        <v>43</v>
      </c>
      <c r="S232" s="18">
        <v>5</v>
      </c>
      <c r="T232" s="19">
        <v>3471</v>
      </c>
      <c r="U232" s="19">
        <v>3.5404546136714119</v>
      </c>
      <c r="V232" s="20">
        <v>9155</v>
      </c>
      <c r="W232" s="20">
        <v>3.9616583486377155</v>
      </c>
      <c r="X232" s="20">
        <v>0.19257062325150923</v>
      </c>
      <c r="Y232" s="20">
        <v>0.30777400170000002</v>
      </c>
      <c r="Z232" s="20">
        <f t="shared" si="86"/>
        <v>-0.51176806869914349</v>
      </c>
      <c r="AA232" s="20"/>
      <c r="AB232" s="20"/>
      <c r="AC232" s="20">
        <v>2898</v>
      </c>
      <c r="AD232" s="21">
        <v>129</v>
      </c>
      <c r="AE232" s="21">
        <f t="shared" si="94"/>
        <v>4.1303790983606556E-3</v>
      </c>
      <c r="AF232" s="21">
        <f t="shared" si="95"/>
        <v>2.1105897102992488</v>
      </c>
      <c r="AG232" s="22">
        <v>1.5400870901639344E-2</v>
      </c>
      <c r="AH232" s="22">
        <v>481</v>
      </c>
      <c r="AI232" s="22"/>
      <c r="AJ232" s="23">
        <v>47541</v>
      </c>
      <c r="AK232" s="23">
        <f t="shared" si="93"/>
        <v>4.6770683126448809</v>
      </c>
      <c r="AL232" s="24">
        <v>0.391230839</v>
      </c>
      <c r="AM232" s="22">
        <f>13261+12008</f>
        <v>25269</v>
      </c>
      <c r="AN232" s="22">
        <f t="shared" si="100"/>
        <v>0.80907402663934425</v>
      </c>
      <c r="AO232" s="23">
        <v>0.28933724075743911</v>
      </c>
      <c r="AP232" s="33">
        <v>2.2544279E-2</v>
      </c>
      <c r="AQ232" s="23">
        <v>0.35303635047299414</v>
      </c>
      <c r="AR232" s="23">
        <v>31232</v>
      </c>
      <c r="AS232" s="23">
        <v>4.4945997959865975</v>
      </c>
      <c r="AT232" s="23">
        <v>4.5382971851679743</v>
      </c>
      <c r="AU232" s="22">
        <v>1.9390000000000001</v>
      </c>
      <c r="AV232" s="22">
        <v>1.118370343</v>
      </c>
      <c r="AW232" s="22"/>
      <c r="AX232" s="22">
        <v>13.821</v>
      </c>
      <c r="AY232" s="22"/>
      <c r="AZ232" s="24">
        <v>8872</v>
      </c>
      <c r="BA232" s="24">
        <f t="shared" si="87"/>
        <v>3.9480215331411035</v>
      </c>
      <c r="BB232" s="24">
        <v>8058</v>
      </c>
      <c r="BC232" s="24">
        <f t="shared" si="88"/>
        <v>3.9062272630523589</v>
      </c>
      <c r="BD232" s="24">
        <v>814</v>
      </c>
      <c r="BE232" s="23">
        <v>2567</v>
      </c>
      <c r="BF232" s="23">
        <f t="shared" si="101"/>
        <v>790.5</v>
      </c>
      <c r="BG232" s="23">
        <v>1.603448275862069</v>
      </c>
      <c r="BH232" s="23">
        <v>8.2191342213114749E-2</v>
      </c>
      <c r="BI232" s="23">
        <v>2.8548265678383231E-2</v>
      </c>
      <c r="BJ232" s="23">
        <v>5.9649338238828342E-2</v>
      </c>
      <c r="BK232" s="23">
        <v>1.8790310115178064</v>
      </c>
      <c r="BL232" s="23">
        <v>986</v>
      </c>
      <c r="BM232" s="22">
        <v>904</v>
      </c>
      <c r="BN232" s="22">
        <f t="shared" si="102"/>
        <v>158</v>
      </c>
      <c r="BO232" s="22">
        <v>2.9561684304753633</v>
      </c>
      <c r="BP232" s="22">
        <v>0.10189359783588819</v>
      </c>
      <c r="BQ232" s="22">
        <v>1.8653301554147971E-2</v>
      </c>
      <c r="BR232" s="22">
        <v>2.2913734202815946E-2</v>
      </c>
      <c r="BS232" s="22">
        <v>-821</v>
      </c>
      <c r="BT232" s="22">
        <v>2.9143431571194407</v>
      </c>
      <c r="BU232" s="22">
        <v>2.6287141393442622E-2</v>
      </c>
      <c r="BV232" s="23">
        <v>1820</v>
      </c>
      <c r="BW232" s="22">
        <v>6094</v>
      </c>
      <c r="BX232" s="22">
        <v>17.708344</v>
      </c>
      <c r="BY232" s="22">
        <v>1.2481779499371852</v>
      </c>
      <c r="BZ232" s="25">
        <v>-0.52344561396426859</v>
      </c>
      <c r="CA232" s="23">
        <v>2.4180879115385762E-2</v>
      </c>
      <c r="CB232" s="23">
        <v>2.4180879115385761</v>
      </c>
      <c r="CC232" s="23">
        <v>0.38347208593834597</v>
      </c>
      <c r="CD232" s="23">
        <v>3.4239891893164551E-2</v>
      </c>
      <c r="CE232" s="23">
        <v>2.0079372103467861E-2</v>
      </c>
      <c r="CH232" s="26">
        <v>23.4</v>
      </c>
      <c r="CI232" s="26">
        <v>17.75</v>
      </c>
      <c r="CJ232" s="26">
        <v>1.3692158574101427</v>
      </c>
      <c r="CK232" s="26">
        <v>1.249198357391113</v>
      </c>
      <c r="CL232" s="26">
        <v>0.31830985915492949</v>
      </c>
      <c r="CM232" s="27">
        <v>25.275999999999993</v>
      </c>
      <c r="CN232" s="27">
        <v>6.7666408261623831E-2</v>
      </c>
      <c r="CO232" s="27">
        <v>14.39393443</v>
      </c>
      <c r="CP232" s="27">
        <v>9.2697401450272041E-2</v>
      </c>
      <c r="CQ232" s="27">
        <v>94.493822393822356</v>
      </c>
      <c r="CR232" s="27">
        <v>7.2398848134946573E-3</v>
      </c>
      <c r="CS232" s="27">
        <v>1.0720384615384604</v>
      </c>
      <c r="CT232" s="27">
        <v>1.0575095785440605</v>
      </c>
      <c r="CU232" s="27">
        <v>1.37387720065881E-2</v>
      </c>
      <c r="CV232" s="27">
        <v>1.268846153846154</v>
      </c>
      <c r="CW232" s="27">
        <v>2.1034089675745258</v>
      </c>
      <c r="CX232" s="36">
        <v>0.92</v>
      </c>
      <c r="CY232" s="28">
        <v>0.92</v>
      </c>
      <c r="CZ232" s="29">
        <v>29.99596154</v>
      </c>
      <c r="DA232" s="27">
        <v>0.13600952487112158</v>
      </c>
      <c r="DB232" s="27">
        <v>1.9709466682529033</v>
      </c>
      <c r="DC232" s="27">
        <v>3.3676575479931978</v>
      </c>
      <c r="DD232" s="27">
        <v>1</v>
      </c>
      <c r="DE232" s="27">
        <v>1.9</v>
      </c>
      <c r="DF232" s="27">
        <v>100.9</v>
      </c>
      <c r="DG232" s="28">
        <v>4.6141299273595635</v>
      </c>
      <c r="DH232" s="27">
        <v>1.01092</v>
      </c>
      <c r="DI232" s="27">
        <v>1.7</v>
      </c>
      <c r="DJ232" s="27">
        <v>2.4</v>
      </c>
      <c r="DK232" s="27">
        <v>2.7</v>
      </c>
      <c r="DL232" s="27">
        <v>1.6688062333233E-2</v>
      </c>
      <c r="DM232" s="27">
        <v>0.77139999999999997</v>
      </c>
      <c r="DN232" s="28">
        <v>0.69699999999999995</v>
      </c>
      <c r="DO232" s="28">
        <v>-2.8165086447295033E-2</v>
      </c>
      <c r="DP232" s="28">
        <v>3.2525766296345855E-2</v>
      </c>
      <c r="DQ232" s="27">
        <v>0.10270000000000001</v>
      </c>
      <c r="DR232" s="27">
        <v>2.4180879115385762E-2</v>
      </c>
      <c r="DS232" s="27">
        <v>2.0079372103467861E-2</v>
      </c>
      <c r="DT232" s="27">
        <v>3.4239891893164551E-2</v>
      </c>
      <c r="DU232" s="30">
        <v>8.9420310000000001</v>
      </c>
      <c r="DV232">
        <v>2.2000000000000002</v>
      </c>
      <c r="DW232">
        <v>2.4</v>
      </c>
      <c r="DX232">
        <v>102.1</v>
      </c>
      <c r="DY232">
        <v>102.1</v>
      </c>
      <c r="DZ232">
        <v>0.9</v>
      </c>
      <c r="EA232">
        <v>0.7</v>
      </c>
      <c r="EB232">
        <v>1.494866</v>
      </c>
    </row>
    <row r="233" spans="1:132" ht="18">
      <c r="A233" s="14" t="s">
        <v>171</v>
      </c>
      <c r="B233" s="14">
        <v>11</v>
      </c>
      <c r="C233" s="14" t="s">
        <v>150</v>
      </c>
      <c r="D233" s="14" t="s">
        <v>148</v>
      </c>
      <c r="E233" s="14" t="s">
        <v>145</v>
      </c>
      <c r="F233" s="15">
        <v>6617</v>
      </c>
      <c r="G233" s="15">
        <v>3.8206611346435957</v>
      </c>
      <c r="H233" s="15">
        <v>1664</v>
      </c>
      <c r="I233" s="15">
        <v>338</v>
      </c>
      <c r="J233" s="16">
        <v>4615</v>
      </c>
      <c r="K233" s="16">
        <v>1</v>
      </c>
      <c r="L233" s="17">
        <v>0.21171012637977923</v>
      </c>
      <c r="M233" s="18">
        <v>43</v>
      </c>
      <c r="P233" s="18">
        <v>2</v>
      </c>
      <c r="Q233" s="18">
        <f t="shared" si="99"/>
        <v>1.6666666666666667</v>
      </c>
      <c r="R233" s="18">
        <v>43</v>
      </c>
      <c r="S233" s="18">
        <v>5</v>
      </c>
      <c r="T233" s="19">
        <v>3677</v>
      </c>
      <c r="U233" s="19">
        <v>3.5654936298688624</v>
      </c>
      <c r="V233" s="20">
        <v>8402</v>
      </c>
      <c r="W233" s="20">
        <v>3.9243826772019732</v>
      </c>
      <c r="X233" s="20">
        <v>0.18063767118869994</v>
      </c>
      <c r="Y233" s="20">
        <v>0.28682242990000001</v>
      </c>
      <c r="Z233" s="20">
        <f t="shared" si="86"/>
        <v>-0.5423868892632927</v>
      </c>
      <c r="AA233" s="20"/>
      <c r="AB233" s="20"/>
      <c r="AC233" s="20">
        <v>3069</v>
      </c>
      <c r="AD233" s="21">
        <v>125</v>
      </c>
      <c r="AE233" s="21">
        <f t="shared" si="94"/>
        <v>3.9993601023836185E-3</v>
      </c>
      <c r="AF233" s="21">
        <f t="shared" si="95"/>
        <v>2.0969100130080562</v>
      </c>
      <c r="AG233" s="22">
        <v>1.433370660694289E-2</v>
      </c>
      <c r="AH233" s="22">
        <v>448</v>
      </c>
      <c r="AI233" s="22"/>
      <c r="AJ233" s="23">
        <v>46513</v>
      </c>
      <c r="AK233" s="23">
        <f t="shared" si="93"/>
        <v>4.6675743515826422</v>
      </c>
      <c r="AL233" s="24">
        <v>0.41379698399999998</v>
      </c>
      <c r="AM233" s="22">
        <f>14107+11593</f>
        <v>25700</v>
      </c>
      <c r="AN233" s="22">
        <f t="shared" si="100"/>
        <v>0.82226843705007202</v>
      </c>
      <c r="AO233" s="23">
        <v>8.3277065046139988E-3</v>
      </c>
      <c r="AP233" s="33">
        <v>1.6723691999999998E-2</v>
      </c>
      <c r="AQ233" s="23">
        <v>0.22333216055667346</v>
      </c>
      <c r="AR233" s="23">
        <v>31255</v>
      </c>
      <c r="AS233" s="23">
        <v>4.4949195032388225</v>
      </c>
      <c r="AT233" s="23">
        <v>4.4945997959865975</v>
      </c>
      <c r="AU233" s="22">
        <v>2.0190000000000001</v>
      </c>
      <c r="AV233" s="22">
        <v>1.1306532659999999</v>
      </c>
      <c r="AW233" s="22"/>
      <c r="AX233" s="22"/>
      <c r="AY233" s="22"/>
      <c r="AZ233" s="24">
        <v>8886</v>
      </c>
      <c r="BA233" s="24">
        <f t="shared" si="87"/>
        <v>3.948706308904852</v>
      </c>
      <c r="BB233" s="24">
        <v>7955</v>
      </c>
      <c r="BC233" s="24">
        <f t="shared" si="88"/>
        <v>3.9006401839826004</v>
      </c>
      <c r="BD233" s="24">
        <v>931</v>
      </c>
      <c r="BE233" s="23">
        <v>74</v>
      </c>
      <c r="BF233" s="23">
        <f t="shared" si="101"/>
        <v>1246.5</v>
      </c>
      <c r="BG233" s="23">
        <v>-0.97117257499026099</v>
      </c>
      <c r="BH233" s="23">
        <v>2.3676211806111023E-3</v>
      </c>
      <c r="BI233" s="23">
        <v>8.2191342213114749E-2</v>
      </c>
      <c r="BJ233" s="23">
        <v>5.9649338238828342E-2</v>
      </c>
      <c r="BK233" s="23">
        <v>-0.97119378858089378</v>
      </c>
      <c r="BL233" s="23">
        <v>2567</v>
      </c>
      <c r="BM233" s="22">
        <v>713</v>
      </c>
      <c r="BN233" s="22">
        <f t="shared" si="102"/>
        <v>95.5</v>
      </c>
      <c r="BO233" s="22">
        <v>2.8530895298518657</v>
      </c>
      <c r="BP233" s="22">
        <v>8.0238577537699751E-2</v>
      </c>
      <c r="BQ233" s="22">
        <v>1.0827510149094194E-2</v>
      </c>
      <c r="BR233" s="22">
        <v>1.8653301554147971E-2</v>
      </c>
      <c r="BS233" s="22">
        <v>-1139</v>
      </c>
      <c r="BT233" s="22">
        <v>3.0565237240791006</v>
      </c>
      <c r="BU233" s="22">
        <v>3.6442169252919536E-2</v>
      </c>
      <c r="BV233" s="23">
        <v>1306</v>
      </c>
      <c r="BW233" s="22">
        <v>5850</v>
      </c>
      <c r="BX233" s="22">
        <v>13.072319999999999</v>
      </c>
      <c r="BY233" s="22">
        <v>1.1163526705020801</v>
      </c>
      <c r="BZ233" s="25">
        <v>-0.26179884465763714</v>
      </c>
      <c r="CA233" s="23">
        <v>2.0079372103467861E-2</v>
      </c>
      <c r="CB233" s="23">
        <v>2.0079372103467863</v>
      </c>
      <c r="CC233" s="23">
        <v>0.30275012798181106</v>
      </c>
      <c r="CD233" s="23">
        <v>2.4180879115385762E-2</v>
      </c>
      <c r="CE233" s="23">
        <v>1.50675227484701E-2</v>
      </c>
      <c r="CH233" s="26">
        <v>18.02</v>
      </c>
      <c r="CI233" s="26">
        <v>23.4</v>
      </c>
      <c r="CJ233" s="26">
        <v>1.2557547866430441</v>
      </c>
      <c r="CK233" s="26">
        <v>1.3692158574101427</v>
      </c>
      <c r="CL233" s="26">
        <v>-0.22991452991452987</v>
      </c>
      <c r="CM233" s="27">
        <v>18.608429118773955</v>
      </c>
      <c r="CN233" s="27">
        <v>-0.26379058716672099</v>
      </c>
      <c r="CO233" s="27">
        <v>10.24478261</v>
      </c>
      <c r="CP233" s="27">
        <v>-0.288256962693417</v>
      </c>
      <c r="CQ233" s="27">
        <v>71.254230769230816</v>
      </c>
      <c r="CR233" s="27">
        <v>-0.24593768180670883</v>
      </c>
      <c r="CS233" s="27">
        <v>0.83494252873563157</v>
      </c>
      <c r="CT233" s="27">
        <v>1.0720384615384604</v>
      </c>
      <c r="CU233" s="27">
        <v>-0.22116364413136569</v>
      </c>
      <c r="CV233" s="27">
        <v>0.95088122605364045</v>
      </c>
      <c r="CW233" s="27">
        <v>1.9781262728880398</v>
      </c>
      <c r="CX233" s="36">
        <v>0.54</v>
      </c>
      <c r="CY233" s="28">
        <v>0.92</v>
      </c>
      <c r="CZ233" s="29">
        <v>24.56237548</v>
      </c>
      <c r="DA233" s="27">
        <v>-0.18114392008251654</v>
      </c>
      <c r="DB233" s="27">
        <v>1.7682050254071211</v>
      </c>
      <c r="DC233" s="27">
        <v>1.9709466682529033</v>
      </c>
      <c r="DD233" s="27">
        <v>1</v>
      </c>
      <c r="DE233" s="27">
        <v>2</v>
      </c>
      <c r="DF233" s="27">
        <v>102.2</v>
      </c>
      <c r="DG233" s="28">
        <v>4.6269316777696039</v>
      </c>
      <c r="DH233" s="27">
        <v>1.0259199999999999</v>
      </c>
      <c r="DI233" s="27">
        <v>1.6</v>
      </c>
      <c r="DJ233" s="27">
        <v>1.3</v>
      </c>
      <c r="DK233" s="27">
        <v>1.9</v>
      </c>
      <c r="DL233" s="27">
        <v>1.6829215601661535E-2</v>
      </c>
      <c r="DM233" s="27">
        <v>0.75800000000000001</v>
      </c>
      <c r="DN233" s="28">
        <v>0.74839999999999995</v>
      </c>
      <c r="DO233" s="28">
        <v>7.3744619799139169E-2</v>
      </c>
      <c r="DP233" s="28">
        <v>-1.7371013741249636E-2</v>
      </c>
      <c r="DQ233" s="27">
        <v>8.4699999999999998E-2</v>
      </c>
      <c r="DR233" s="27">
        <v>2.0079372103467861E-2</v>
      </c>
      <c r="DS233" s="27">
        <v>1.50675227484701E-2</v>
      </c>
      <c r="DT233" s="27">
        <v>2.4180879115385762E-2</v>
      </c>
      <c r="DU233" s="30">
        <v>8.0652849999999994</v>
      </c>
      <c r="DV233">
        <v>0.9</v>
      </c>
      <c r="DW233">
        <v>1.4</v>
      </c>
      <c r="DX233">
        <v>103.9</v>
      </c>
      <c r="DY233">
        <v>103.8</v>
      </c>
      <c r="DZ233">
        <v>0.1</v>
      </c>
      <c r="EA233">
        <v>0</v>
      </c>
      <c r="EB233">
        <v>1.826854</v>
      </c>
    </row>
    <row r="234" spans="1:132" ht="18">
      <c r="A234" s="14" t="s">
        <v>171</v>
      </c>
      <c r="B234" s="14">
        <v>12</v>
      </c>
      <c r="C234" s="14" t="s">
        <v>150</v>
      </c>
      <c r="D234" s="14" t="s">
        <v>148</v>
      </c>
      <c r="E234" s="14" t="s">
        <v>145</v>
      </c>
      <c r="F234" s="15">
        <v>4562</v>
      </c>
      <c r="G234" s="15">
        <v>3.6591552809406296</v>
      </c>
      <c r="H234" s="15">
        <v>1338</v>
      </c>
      <c r="I234" s="15">
        <v>200</v>
      </c>
      <c r="J234" s="16">
        <v>3024</v>
      </c>
      <c r="K234" s="16">
        <v>1</v>
      </c>
      <c r="L234" s="17">
        <v>0.20537523072074912</v>
      </c>
      <c r="M234" s="18">
        <v>43</v>
      </c>
      <c r="P234" s="18">
        <v>2</v>
      </c>
      <c r="Q234" s="18">
        <f t="shared" si="99"/>
        <v>1.6666666666666667</v>
      </c>
      <c r="R234" s="18">
        <v>43</v>
      </c>
      <c r="S234" s="18">
        <v>5</v>
      </c>
      <c r="T234" s="19">
        <v>3399</v>
      </c>
      <c r="U234" s="19">
        <v>3.5313511645830595</v>
      </c>
      <c r="V234" s="20">
        <v>9430.7199999999993</v>
      </c>
      <c r="W234" s="20">
        <v>3.9745448507532601</v>
      </c>
      <c r="X234" s="20">
        <v>0.20799999999999999</v>
      </c>
      <c r="Y234" s="20">
        <v>0.28057680470000002</v>
      </c>
      <c r="Z234" s="20">
        <f t="shared" si="86"/>
        <v>-0.55194823497257961</v>
      </c>
      <c r="AA234" s="20"/>
      <c r="AB234" s="20"/>
      <c r="AC234" s="20">
        <v>3191</v>
      </c>
      <c r="AD234" s="21">
        <v>161</v>
      </c>
      <c r="AE234" s="21">
        <f t="shared" si="94"/>
        <v>5.0627338762931984E-3</v>
      </c>
      <c r="AF234" s="21">
        <f t="shared" si="95"/>
        <v>2.2068258760318495</v>
      </c>
      <c r="AG234" s="22">
        <v>8.5846357032797714E-3</v>
      </c>
      <c r="AH234" s="22">
        <v>273</v>
      </c>
      <c r="AI234" s="22"/>
      <c r="AJ234" s="23">
        <v>45340</v>
      </c>
      <c r="AK234" s="23">
        <f t="shared" si="93"/>
        <v>4.6564815157904986</v>
      </c>
      <c r="AL234" s="24">
        <v>0.37508276299999999</v>
      </c>
      <c r="AM234" s="22">
        <f>14279+12541</f>
        <v>26820</v>
      </c>
      <c r="AN234" s="22">
        <f t="shared" si="100"/>
        <v>0.84336970535517752</v>
      </c>
      <c r="AO234" s="23">
        <v>4.667843743103068E-2</v>
      </c>
      <c r="AP234" s="33">
        <v>7.2558978999999996E-2</v>
      </c>
      <c r="AQ234" s="23">
        <v>0.86069116300207027</v>
      </c>
      <c r="AR234" s="23">
        <v>31801</v>
      </c>
      <c r="AS234" s="23">
        <v>4.502440776828883</v>
      </c>
      <c r="AT234" s="23">
        <v>4.4949195032388225</v>
      </c>
      <c r="AU234" s="22">
        <v>2.3079999999999998</v>
      </c>
      <c r="AV234" s="22">
        <v>1.3467424569999999</v>
      </c>
      <c r="AW234" s="22"/>
      <c r="AX234" s="22"/>
      <c r="AY234" s="22"/>
      <c r="AZ234" s="24">
        <v>9062</v>
      </c>
      <c r="BA234" s="24">
        <f t="shared" si="87"/>
        <v>3.9572240578431672</v>
      </c>
      <c r="BB234" s="24">
        <v>7861</v>
      </c>
      <c r="BC234" s="24">
        <f t="shared" si="88"/>
        <v>3.8954777962757148</v>
      </c>
      <c r="BD234" s="24">
        <v>1201</v>
      </c>
      <c r="BE234" s="23">
        <v>423</v>
      </c>
      <c r="BF234" s="23">
        <f t="shared" si="101"/>
        <v>174.5</v>
      </c>
      <c r="BG234" s="23">
        <v>4.7162162162162158</v>
      </c>
      <c r="BH234" s="23">
        <v>1.9042902804663937E-2</v>
      </c>
      <c r="BI234" s="23">
        <v>2.3676211806111023E-3</v>
      </c>
      <c r="BJ234" s="23">
        <v>5.9649338238828342E-2</v>
      </c>
      <c r="BK234" s="23">
        <v>7.0430530697266391</v>
      </c>
      <c r="BL234" s="23">
        <v>74</v>
      </c>
      <c r="BM234" s="22">
        <v>1030</v>
      </c>
      <c r="BN234" s="22">
        <f t="shared" si="102"/>
        <v>158.5</v>
      </c>
      <c r="BO234" s="22">
        <v>3.012837224705172</v>
      </c>
      <c r="BP234" s="22">
        <v>0.11366144338998013</v>
      </c>
      <c r="BQ234" s="22">
        <v>1.6711432926140166E-2</v>
      </c>
      <c r="BR234" s="22">
        <v>1.0827510149094194E-2</v>
      </c>
      <c r="BS234" s="22">
        <v>-1371</v>
      </c>
      <c r="BT234" s="22">
        <v>3.1370374547895126</v>
      </c>
      <c r="BU234" s="22">
        <v>6.1720614054832756E-2</v>
      </c>
      <c r="BV234" s="23">
        <v>1121</v>
      </c>
      <c r="BW234" s="22">
        <v>6160</v>
      </c>
      <c r="BX234" s="22">
        <v>19.147328000000002</v>
      </c>
      <c r="BY234" s="22">
        <v>1.2821081769562901</v>
      </c>
      <c r="BZ234" s="25">
        <v>0.46472301779638214</v>
      </c>
      <c r="CA234" s="23">
        <v>1.50675227484701E-2</v>
      </c>
      <c r="CB234" s="23">
        <v>1.5067522748470099</v>
      </c>
      <c r="CC234" s="23">
        <v>0.17804185582454041</v>
      </c>
      <c r="CD234" s="23">
        <v>2.0079372103467861E-2</v>
      </c>
      <c r="CE234" s="23">
        <v>3.1335239457349999E-2</v>
      </c>
      <c r="CH234" s="26">
        <v>13.72</v>
      </c>
      <c r="CI234" s="26">
        <v>18.02</v>
      </c>
      <c r="CJ234" s="26">
        <v>1.1373541113707328</v>
      </c>
      <c r="CK234" s="26">
        <v>1.2557547866430441</v>
      </c>
      <c r="CL234" s="26">
        <v>-0.23862375138734734</v>
      </c>
      <c r="CM234" s="27">
        <v>14.834099616858232</v>
      </c>
      <c r="CN234" s="27">
        <v>-0.20282902322516949</v>
      </c>
      <c r="CO234" s="27">
        <v>8.3248809519999991</v>
      </c>
      <c r="CP234" s="27">
        <v>-0.18740286944946707</v>
      </c>
      <c r="CQ234" s="27">
        <v>73.031538461538446</v>
      </c>
      <c r="CR234" s="27">
        <v>2.494318825872599E-2</v>
      </c>
      <c r="CS234" s="27">
        <v>0.8023754789272034</v>
      </c>
      <c r="CT234" s="27">
        <v>0.83494252873563157</v>
      </c>
      <c r="CU234" s="27">
        <v>-3.9005139500733109E-2</v>
      </c>
      <c r="CV234" s="27">
        <v>0.96896551724137914</v>
      </c>
      <c r="CW234" s="27">
        <v>1.9863083220061237</v>
      </c>
      <c r="CX234" s="36">
        <v>0.62</v>
      </c>
      <c r="CY234" s="28">
        <v>0.54</v>
      </c>
      <c r="CZ234" s="29">
        <v>18.565019159999999</v>
      </c>
      <c r="DA234" s="27">
        <v>-0.24416841623821645</v>
      </c>
      <c r="DB234" s="27">
        <v>1.1698744465812936</v>
      </c>
      <c r="DC234" s="27">
        <v>1.7682050254071211</v>
      </c>
      <c r="DD234" s="27">
        <v>1</v>
      </c>
      <c r="DE234" s="27">
        <v>2</v>
      </c>
      <c r="DF234" s="27">
        <v>103</v>
      </c>
      <c r="DG234" s="28">
        <v>4.6347289882296359</v>
      </c>
      <c r="DH234" s="27">
        <v>1.0334399999999999</v>
      </c>
      <c r="DI234" s="27">
        <v>1.6</v>
      </c>
      <c r="DJ234" s="27">
        <v>1.4</v>
      </c>
      <c r="DK234" s="27">
        <v>1.3</v>
      </c>
      <c r="DL234" s="27">
        <v>1.2152522197973097E-2</v>
      </c>
      <c r="DM234" s="27">
        <v>0.72770000000000001</v>
      </c>
      <c r="DN234" s="28">
        <v>0.77380000000000004</v>
      </c>
      <c r="DO234" s="28">
        <v>3.3939070016034328E-2</v>
      </c>
      <c r="DP234" s="28">
        <v>-3.9973614775725586E-2</v>
      </c>
      <c r="DQ234" s="27">
        <v>5.8499999999999996E-2</v>
      </c>
      <c r="DR234" s="27">
        <v>1.50675227484701E-2</v>
      </c>
      <c r="DS234" s="27">
        <v>3.1335239457349999E-2</v>
      </c>
      <c r="DT234" s="27">
        <v>2.0079372103467861E-2</v>
      </c>
      <c r="DU234" s="30">
        <v>7.3719619999999999</v>
      </c>
      <c r="DV234">
        <v>1.5</v>
      </c>
      <c r="DW234">
        <v>2.1</v>
      </c>
      <c r="DX234">
        <v>105.4</v>
      </c>
      <c r="DY234">
        <v>105.7</v>
      </c>
      <c r="DZ234">
        <v>0.2</v>
      </c>
      <c r="EA234">
        <v>0.8</v>
      </c>
      <c r="EB234">
        <v>1.343728</v>
      </c>
    </row>
    <row r="235" spans="1:132" ht="18">
      <c r="A235" s="14" t="s">
        <v>171</v>
      </c>
      <c r="B235" s="14">
        <v>13</v>
      </c>
      <c r="C235" s="14" t="s">
        <v>150</v>
      </c>
      <c r="D235" s="14" t="s">
        <v>148</v>
      </c>
      <c r="E235" s="14" t="s">
        <v>145</v>
      </c>
      <c r="F235" s="15">
        <v>5086</v>
      </c>
      <c r="G235" s="15">
        <v>3.7063763558396903</v>
      </c>
      <c r="H235" s="15">
        <v>909</v>
      </c>
      <c r="I235" s="15">
        <v>130</v>
      </c>
      <c r="J235" s="16">
        <v>4047</v>
      </c>
      <c r="K235" s="16">
        <v>1</v>
      </c>
      <c r="L235" s="17">
        <v>0.25193184069744401</v>
      </c>
      <c r="M235" s="18">
        <v>43</v>
      </c>
      <c r="P235" s="18">
        <v>2</v>
      </c>
      <c r="Q235" s="18">
        <f t="shared" si="99"/>
        <v>1.6666666666666667</v>
      </c>
      <c r="R235" s="18">
        <v>43</v>
      </c>
      <c r="S235" s="18">
        <v>5</v>
      </c>
      <c r="T235" s="19">
        <v>3132</v>
      </c>
      <c r="U235" s="19">
        <v>3.495821753385906</v>
      </c>
      <c r="V235" s="20">
        <v>8118.3180000000002</v>
      </c>
      <c r="W235" s="20">
        <v>3.9094660589226762</v>
      </c>
      <c r="X235" s="20">
        <v>0.19400000000000001</v>
      </c>
      <c r="Y235" s="20">
        <v>0.39501060500000001</v>
      </c>
      <c r="Z235" s="20">
        <f t="shared" si="86"/>
        <v>-0.40339124454783182</v>
      </c>
      <c r="AA235" s="20"/>
      <c r="AB235" s="20"/>
      <c r="AC235" s="20">
        <v>3911</v>
      </c>
      <c r="AD235" s="21">
        <v>147</v>
      </c>
      <c r="AE235" s="21">
        <f t="shared" si="94"/>
        <v>4.9131016042780751E-3</v>
      </c>
      <c r="AF235" s="21">
        <f t="shared" si="95"/>
        <v>2.167317334748176</v>
      </c>
      <c r="AG235" s="22">
        <v>7.720588235294118E-3</v>
      </c>
      <c r="AH235" s="22">
        <v>231</v>
      </c>
      <c r="AI235" s="22">
        <v>-10.846953940000001</v>
      </c>
      <c r="AJ235" s="23">
        <v>41847</v>
      </c>
      <c r="AK235" s="23">
        <f t="shared" si="93"/>
        <v>4.6216643289924502</v>
      </c>
      <c r="AL235" s="24">
        <v>0.37571977000000001</v>
      </c>
      <c r="AM235" s="22">
        <f>16527+13638</f>
        <v>30165</v>
      </c>
      <c r="AN235" s="22">
        <f t="shared" si="100"/>
        <v>1.0081885026737969</v>
      </c>
      <c r="AO235" s="23">
        <v>0.5812140115163148</v>
      </c>
      <c r="AP235" s="33">
        <v>7.1126720000000004E-2</v>
      </c>
      <c r="AQ235" s="23">
        <v>0.8520327817226625</v>
      </c>
      <c r="AR235" s="23">
        <v>29920</v>
      </c>
      <c r="AS235" s="23">
        <v>4.4759615891924236</v>
      </c>
      <c r="AT235" s="23">
        <v>4.502440776828883</v>
      </c>
      <c r="AU235" s="22"/>
      <c r="AV235" s="22">
        <v>-11.13521545</v>
      </c>
      <c r="AW235" s="22">
        <v>7.3</v>
      </c>
      <c r="AX235" s="22"/>
      <c r="AY235" s="22">
        <v>1</v>
      </c>
      <c r="AZ235" s="24">
        <v>8336</v>
      </c>
      <c r="BA235" s="24">
        <f t="shared" si="87"/>
        <v>3.9209577059554492</v>
      </c>
      <c r="BB235" s="24">
        <v>8744</v>
      </c>
      <c r="BC235" s="24">
        <f t="shared" si="88"/>
        <v>3.9417101489416462</v>
      </c>
      <c r="BD235" s="24">
        <v>-408</v>
      </c>
      <c r="BE235" s="23">
        <v>4845</v>
      </c>
      <c r="BF235" s="23">
        <f t="shared" si="101"/>
        <v>2211</v>
      </c>
      <c r="BG235" s="23">
        <v>10.453900709219859</v>
      </c>
      <c r="BH235" s="23">
        <v>0.2399940558747771</v>
      </c>
      <c r="BI235" s="23">
        <v>1.9042902804663937E-2</v>
      </c>
      <c r="BJ235" s="23">
        <v>5.9649338238828342E-2</v>
      </c>
      <c r="BK235" s="23">
        <v>11.602808423514002</v>
      </c>
      <c r="BL235" s="23">
        <v>423</v>
      </c>
      <c r="BM235" s="22">
        <v>190</v>
      </c>
      <c r="BN235" s="22">
        <f>STDEVP(BM234:BM235)</f>
        <v>420</v>
      </c>
      <c r="BO235" s="22">
        <v>2.2787536009528289</v>
      </c>
      <c r="BP235" s="22">
        <v>2.279270633397313E-2</v>
      </c>
      <c r="BQ235" s="22">
        <v>4.5434368528003505E-2</v>
      </c>
      <c r="BR235" s="22">
        <v>1.6711432926140166E-2</v>
      </c>
      <c r="BS235" s="22">
        <v>-1076</v>
      </c>
      <c r="BT235" s="22">
        <v>3.0318122713303706</v>
      </c>
      <c r="BU235" s="22">
        <v>5.3298989498712104E-2</v>
      </c>
      <c r="BV235" s="23">
        <v>137</v>
      </c>
      <c r="BW235" s="22">
        <v>7494</v>
      </c>
      <c r="BX235" s="22">
        <v>8.6415050000000004</v>
      </c>
      <c r="BY235" s="22">
        <v>0.93658938556633464</v>
      </c>
      <c r="BZ235" s="25">
        <v>-0.54868350299321145</v>
      </c>
      <c r="CA235" s="23">
        <v>3.1335239457349999E-2</v>
      </c>
      <c r="CB235" s="23">
        <v>3.1335239457349999</v>
      </c>
      <c r="CC235" s="23">
        <v>0.49603301783632175</v>
      </c>
      <c r="CD235" s="23">
        <v>1.50675227484701E-2</v>
      </c>
      <c r="CE235" s="23">
        <v>2.7077520000000001E-2</v>
      </c>
      <c r="CH235" s="26">
        <v>19.2</v>
      </c>
      <c r="CI235" s="26">
        <v>13.72</v>
      </c>
      <c r="CJ235" s="26">
        <v>1.2833012287035497</v>
      </c>
      <c r="CK235" s="26">
        <v>1.1373541113707328</v>
      </c>
      <c r="CL235" s="26">
        <v>0.39941690962099113</v>
      </c>
      <c r="CM235" s="27">
        <v>14.883180076628348</v>
      </c>
      <c r="CN235" s="27">
        <v>3.3086241186042575E-3</v>
      </c>
      <c r="CO235" s="27">
        <v>6.9159523810000003</v>
      </c>
      <c r="CP235" s="27">
        <v>-0.1692430893755319</v>
      </c>
      <c r="CQ235" s="27">
        <v>64.583076923076902</v>
      </c>
      <c r="CR235" s="27">
        <v>-0.11568237115682381</v>
      </c>
      <c r="CS235" s="27">
        <v>0.66574712643678124</v>
      </c>
      <c r="CT235" s="27">
        <v>0.8023754789272034</v>
      </c>
      <c r="CU235" s="27">
        <v>-0.1702798204564997</v>
      </c>
      <c r="CV235" s="27">
        <v>0.67685823754789287</v>
      </c>
      <c r="CW235" s="27">
        <v>1.8304977187626064</v>
      </c>
      <c r="CX235" s="36">
        <v>1.33</v>
      </c>
      <c r="CY235" s="28">
        <v>0.62</v>
      </c>
      <c r="CZ235" s="29">
        <v>18.278045980000002</v>
      </c>
      <c r="DA235" s="27">
        <v>-1.5457736807420394E-2</v>
      </c>
      <c r="DC235" s="27">
        <v>1.1698744465812936</v>
      </c>
      <c r="DD235" s="27">
        <v>1</v>
      </c>
      <c r="DE235" s="27">
        <v>1.5</v>
      </c>
      <c r="DF235" s="27">
        <v>104</v>
      </c>
      <c r="DG235" s="28">
        <v>4.6443908991413725</v>
      </c>
      <c r="DH235" s="27">
        <v>1.0435000000000001</v>
      </c>
      <c r="DI235" s="27">
        <v>1.6</v>
      </c>
      <c r="DJ235" s="27">
        <v>0.7</v>
      </c>
      <c r="DK235" s="27">
        <v>1</v>
      </c>
      <c r="DL235" s="27">
        <v>1.7108786898118553E-2</v>
      </c>
      <c r="DM235" s="27">
        <v>0.8266</v>
      </c>
      <c r="DN235" s="28">
        <v>0.75860000000000005</v>
      </c>
      <c r="DO235" s="28">
        <v>-1.9643318686999211E-2</v>
      </c>
      <c r="DP235" s="28">
        <v>0.13590765425312626</v>
      </c>
      <c r="DQ235" s="27">
        <v>0.10860000000000003</v>
      </c>
      <c r="DR235" s="27">
        <v>3.1335239457349999E-2</v>
      </c>
      <c r="DS235" s="27">
        <v>2.7611694356583942E-2</v>
      </c>
      <c r="DT235" s="27">
        <v>1.50675227484701E-2</v>
      </c>
      <c r="DU235" s="30">
        <v>6.1553740000000001</v>
      </c>
      <c r="DV235">
        <v>1.6</v>
      </c>
      <c r="DW235">
        <v>2.2999999999999998</v>
      </c>
      <c r="DX235">
        <v>107</v>
      </c>
      <c r="DY235">
        <v>107.5</v>
      </c>
      <c r="DZ235">
        <v>0.4</v>
      </c>
      <c r="EA235">
        <v>1.1000000000000001</v>
      </c>
      <c r="EB235">
        <v>1.4054869999999999</v>
      </c>
    </row>
    <row r="236" spans="1:132" ht="18">
      <c r="A236" s="14" t="s">
        <v>172</v>
      </c>
      <c r="B236" s="14">
        <v>1</v>
      </c>
      <c r="C236" s="14" t="s">
        <v>141</v>
      </c>
      <c r="D236" s="14" t="s">
        <v>142</v>
      </c>
      <c r="E236" s="14" t="s">
        <v>170</v>
      </c>
      <c r="F236" s="15">
        <v>20660</v>
      </c>
      <c r="G236" s="15">
        <v>4.315130317183602</v>
      </c>
      <c r="H236" s="15">
        <v>7109.7879999999996</v>
      </c>
      <c r="I236" s="15">
        <v>8785.4189999999999</v>
      </c>
      <c r="J236" s="16">
        <v>2642.3029999999999</v>
      </c>
      <c r="K236" s="16">
        <v>1</v>
      </c>
      <c r="L236" s="17">
        <v>0.48845210447780568</v>
      </c>
      <c r="M236" s="18">
        <v>140</v>
      </c>
      <c r="N236" s="18">
        <v>57</v>
      </c>
      <c r="O236" s="18">
        <v>0.96189676706046146</v>
      </c>
      <c r="P236" s="18">
        <v>3</v>
      </c>
      <c r="Q236" s="18">
        <f>(3+3+2)/3</f>
        <v>2.6666666666666665</v>
      </c>
      <c r="R236" s="18">
        <v>140</v>
      </c>
      <c r="S236" s="18">
        <v>5</v>
      </c>
      <c r="T236" s="19">
        <v>14484</v>
      </c>
      <c r="U236" s="19">
        <v>4.1608885161449738</v>
      </c>
      <c r="V236" s="20">
        <v>41442</v>
      </c>
      <c r="W236" s="20">
        <v>4.6174407063897904</v>
      </c>
      <c r="X236" s="20">
        <v>0.5686567778585836</v>
      </c>
      <c r="Y236" s="20">
        <v>0.34063567849999998</v>
      </c>
      <c r="Z236" s="20">
        <f t="shared" si="86"/>
        <v>-0.46770986558021427</v>
      </c>
      <c r="AA236" s="20">
        <v>0.60580524339999997</v>
      </c>
      <c r="AB236" s="20">
        <v>617.17330000000004</v>
      </c>
      <c r="AC236" s="20">
        <v>6941.5303000000004</v>
      </c>
      <c r="AD236" s="21">
        <v>3672.5149999999999</v>
      </c>
      <c r="AE236" s="21">
        <f t="shared" si="94"/>
        <v>8.6827090052096254E-2</v>
      </c>
      <c r="AF236" s="21">
        <f t="shared" si="95"/>
        <v>3.5649635782959019</v>
      </c>
      <c r="AG236" s="22">
        <v>6.7215359778819053E-2</v>
      </c>
      <c r="AH236" s="22">
        <v>2843</v>
      </c>
      <c r="AI236" s="22">
        <v>2.8980394129999998</v>
      </c>
      <c r="AJ236" s="23">
        <v>72877</v>
      </c>
      <c r="AK236" s="23">
        <f t="shared" si="93"/>
        <v>4.8625904864915324</v>
      </c>
      <c r="AL236" s="37">
        <v>0.72730667957219242</v>
      </c>
      <c r="AM236" s="22">
        <v>23428</v>
      </c>
      <c r="AN236" s="22">
        <v>0.37068447201037941</v>
      </c>
      <c r="AO236" s="23">
        <v>0.22632562149734156</v>
      </c>
      <c r="AP236" s="23">
        <v>3.5429842925873839E-3</v>
      </c>
      <c r="AQ236" s="23">
        <v>-0.45063077305709814</v>
      </c>
      <c r="AR236" s="23">
        <v>42296.8799</v>
      </c>
      <c r="AS236" s="23">
        <v>4.6263083320986773</v>
      </c>
      <c r="AT236" s="23">
        <f>LOG(63906.5665)</f>
        <v>4.8055454848907511</v>
      </c>
      <c r="AU236" s="22">
        <v>0.24199999999999999</v>
      </c>
      <c r="AV236" s="22">
        <v>0.18795786749999999</v>
      </c>
      <c r="AW236" s="22">
        <v>109.6985</v>
      </c>
      <c r="AX236" s="22"/>
      <c r="AY236" s="22">
        <v>3</v>
      </c>
      <c r="AZ236" s="24">
        <v>19914.570299999999</v>
      </c>
      <c r="BA236" s="24">
        <f t="shared" si="87"/>
        <v>4.299170940002079</v>
      </c>
      <c r="BB236" s="24">
        <v>4763.7766000000001</v>
      </c>
      <c r="BC236" s="24">
        <f t="shared" si="88"/>
        <v>3.67795138680273</v>
      </c>
      <c r="BD236" s="24">
        <v>15150.793699999998</v>
      </c>
      <c r="BE236" s="23">
        <v>4507.1774999999998</v>
      </c>
      <c r="BF236" s="23">
        <v>144.5</v>
      </c>
      <c r="BG236" s="23">
        <v>-0.35831755410022781</v>
      </c>
      <c r="BH236" s="23">
        <v>0.10656051960939085</v>
      </c>
      <c r="BI236" s="23">
        <v>6.0999999999999999E-2</v>
      </c>
      <c r="BJ236" s="23">
        <v>2.1562568708599111E-2</v>
      </c>
      <c r="BK236" s="23">
        <v>0.7468937640883746</v>
      </c>
      <c r="BL236" s="23">
        <v>4738.3904000000002</v>
      </c>
      <c r="BM236" s="22">
        <v>7785.7317999999996</v>
      </c>
      <c r="BN236" s="22"/>
      <c r="BO236" s="22">
        <v>3.8912994392246532</v>
      </c>
      <c r="BP236" s="22">
        <v>0.39095655506059301</v>
      </c>
      <c r="BQ236" s="22">
        <v>0.13191313613570263</v>
      </c>
      <c r="BR236" s="22"/>
      <c r="BS236" s="22">
        <v>4249.6244999999999</v>
      </c>
      <c r="BT236" s="22">
        <v>3.628350557160295</v>
      </c>
      <c r="BU236" s="22">
        <v>0.10047134706028281</v>
      </c>
      <c r="BV236" s="23">
        <v>10561.5808</v>
      </c>
      <c r="BW236" s="22">
        <v>7458.5441000000001</v>
      </c>
      <c r="BX236" s="22">
        <v>34.684375000000003</v>
      </c>
      <c r="BY236" s="22">
        <v>1.5401338730752296</v>
      </c>
      <c r="BZ236" s="25">
        <v>2.004008016032064E-2</v>
      </c>
      <c r="CA236" s="23">
        <v>9.2024235796175066E-2</v>
      </c>
      <c r="CB236" s="23">
        <v>9.2024235796175073</v>
      </c>
      <c r="CC236" s="23">
        <v>0.96390221958914946</v>
      </c>
      <c r="CD236" s="23">
        <v>5.5900159999999997E-2</v>
      </c>
      <c r="CE236" s="23">
        <v>3.9397159859413521E-2</v>
      </c>
      <c r="CF236" s="23">
        <v>1.404471544715447</v>
      </c>
      <c r="CG236" s="23">
        <f t="shared" si="89"/>
        <v>0.3396611072753617</v>
      </c>
      <c r="CH236" s="26">
        <v>28.62</v>
      </c>
      <c r="CI236" s="26">
        <v>23.8</v>
      </c>
      <c r="CJ236" s="26">
        <v>1.4566696294237576</v>
      </c>
      <c r="CK236" s="26">
        <v>1.3765769570565121</v>
      </c>
      <c r="CL236" s="26">
        <v>0.20252100840336135</v>
      </c>
      <c r="CM236" s="27">
        <v>28.164291187739472</v>
      </c>
      <c r="CN236" s="27">
        <v>5.6821432935815153E-2</v>
      </c>
      <c r="CQ236" s="27">
        <v>125.09884615384618</v>
      </c>
      <c r="CR236" s="27">
        <v>0.13726223776223803</v>
      </c>
      <c r="CS236" s="27">
        <v>0.92386973180076593</v>
      </c>
      <c r="CT236" s="27">
        <v>1.0645593900000001</v>
      </c>
      <c r="CU236" s="27">
        <v>-0.12842478132003218</v>
      </c>
      <c r="CX236" s="36">
        <v>0.76</v>
      </c>
      <c r="CY236" s="28">
        <v>0.82</v>
      </c>
      <c r="CZ236" s="29">
        <v>37.275402300000003</v>
      </c>
      <c r="DA236" s="27">
        <v>0.32652677224199295</v>
      </c>
      <c r="DD236" s="27">
        <v>1</v>
      </c>
      <c r="DF236" s="27">
        <v>91.6</v>
      </c>
      <c r="DG236" s="28">
        <v>4.5174312716800848</v>
      </c>
      <c r="DH236" s="28">
        <v>0.94917899999999999</v>
      </c>
      <c r="DI236" s="27">
        <v>2</v>
      </c>
      <c r="DJ236" s="27">
        <v>3.5</v>
      </c>
      <c r="DK236" s="27">
        <v>2.2999999999999998</v>
      </c>
      <c r="DL236" s="27">
        <v>4.7659593614741015E-2</v>
      </c>
      <c r="DM236" s="28">
        <v>1.3825000000000001</v>
      </c>
      <c r="DN236" s="28">
        <v>1.6603000000000001</v>
      </c>
      <c r="DO236" s="28">
        <v>0.56410739519547803</v>
      </c>
      <c r="DP236" s="28">
        <v>-0.16731915918809856</v>
      </c>
      <c r="DQ236" s="27">
        <v>0.3355999999999999</v>
      </c>
      <c r="DR236" s="27">
        <v>9.2024235999999995E-2</v>
      </c>
      <c r="DS236" s="27">
        <v>5.5980660000000002E-2</v>
      </c>
      <c r="DT236" s="27">
        <v>3.9397159859413521E-2</v>
      </c>
      <c r="DU236" s="30">
        <v>5.7817160000000003</v>
      </c>
      <c r="DV236">
        <v>0.9</v>
      </c>
      <c r="DW236">
        <v>2.8</v>
      </c>
      <c r="DX236">
        <v>84</v>
      </c>
      <c r="DY236">
        <v>80.900000000000006</v>
      </c>
      <c r="DZ236">
        <v>2.2000000000000002</v>
      </c>
      <c r="EA236">
        <v>3</v>
      </c>
      <c r="EB236">
        <v>1.701892</v>
      </c>
    </row>
    <row r="237" spans="1:132" ht="18">
      <c r="A237" s="14" t="s">
        <v>172</v>
      </c>
      <c r="B237" s="14">
        <v>2</v>
      </c>
      <c r="C237" s="14" t="s">
        <v>141</v>
      </c>
      <c r="D237" s="14" t="s">
        <v>142</v>
      </c>
      <c r="E237" s="14" t="s">
        <v>170</v>
      </c>
      <c r="F237" s="15">
        <v>10609</v>
      </c>
      <c r="G237" s="15">
        <v>4.025674449410344</v>
      </c>
      <c r="H237" s="15">
        <v>3991.4589999999998</v>
      </c>
      <c r="I237" s="15">
        <v>3198.3424</v>
      </c>
      <c r="J237" s="16">
        <v>894.35720000000003</v>
      </c>
      <c r="K237" s="16">
        <v>1</v>
      </c>
      <c r="L237" s="17">
        <v>0.27535647152024534</v>
      </c>
      <c r="M237" s="18">
        <v>140</v>
      </c>
      <c r="N237" s="18">
        <v>57</v>
      </c>
      <c r="O237" s="18">
        <v>0.96189676706046146</v>
      </c>
      <c r="P237" s="18">
        <v>3</v>
      </c>
      <c r="Q237" s="18">
        <f t="shared" ref="Q237:Q248" si="103">(3+3+2)/3</f>
        <v>2.6666666666666665</v>
      </c>
      <c r="R237" s="18">
        <v>140</v>
      </c>
      <c r="S237" s="18">
        <v>5</v>
      </c>
      <c r="T237" s="19">
        <v>12802.9264</v>
      </c>
      <c r="U237" s="19">
        <v>4.1073092488753691</v>
      </c>
      <c r="V237" s="20">
        <v>41031</v>
      </c>
      <c r="W237" s="20">
        <v>4.6131121016412875</v>
      </c>
      <c r="X237" s="20">
        <v>0.52241504437172936</v>
      </c>
      <c r="Y237" s="20">
        <v>0.29956952219999999</v>
      </c>
      <c r="Z237" s="20">
        <f t="shared" si="86"/>
        <v>-0.52350237326116078</v>
      </c>
      <c r="AA237" s="20">
        <v>0.43039879609999998</v>
      </c>
      <c r="AB237" s="20">
        <v>455.54079999999999</v>
      </c>
      <c r="AC237" s="20">
        <v>5542.1476000000002</v>
      </c>
      <c r="AD237" s="21">
        <v>1476.5255999999999</v>
      </c>
      <c r="AE237" s="21">
        <f t="shared" si="94"/>
        <v>3.8323204762495351E-2</v>
      </c>
      <c r="AF237" s="21">
        <f t="shared" si="95"/>
        <v>3.16924098116385</v>
      </c>
      <c r="AG237" s="22">
        <v>9.7486936283348244E-2</v>
      </c>
      <c r="AH237" s="22">
        <v>3756</v>
      </c>
      <c r="AI237" s="22">
        <v>3.6433993889999998</v>
      </c>
      <c r="AJ237" s="23">
        <v>78541</v>
      </c>
      <c r="AK237" s="23">
        <f t="shared" si="93"/>
        <v>4.8950964264953507</v>
      </c>
      <c r="AL237" s="24">
        <v>0.64655727200000002</v>
      </c>
      <c r="AM237" s="22">
        <v>18798</v>
      </c>
      <c r="AN237" s="22">
        <v>0.38116673763610925</v>
      </c>
      <c r="AO237" s="23">
        <v>0.19252734877734876</v>
      </c>
      <c r="AP237" s="33">
        <v>2.4508009999999998E-3</v>
      </c>
      <c r="AQ237" s="23">
        <v>-0.61069195113492891</v>
      </c>
      <c r="AR237" s="23">
        <v>38528.239199999996</v>
      </c>
      <c r="AS237" s="23">
        <v>4.585779161538369</v>
      </c>
      <c r="AT237" s="23">
        <v>4.6263083320986773</v>
      </c>
      <c r="AU237" s="22">
        <v>0.251</v>
      </c>
      <c r="AV237" s="22">
        <v>0.15624923590000001</v>
      </c>
      <c r="AW237" s="22">
        <v>88.292885999999996</v>
      </c>
      <c r="AX237" s="22">
        <v>109.6985</v>
      </c>
      <c r="AY237" s="22">
        <v>2</v>
      </c>
      <c r="AZ237" s="24">
        <v>19801.689600000002</v>
      </c>
      <c r="BA237" s="24">
        <f t="shared" si="87"/>
        <v>4.2967022484761923</v>
      </c>
      <c r="BB237" s="24">
        <v>5142.3548000000001</v>
      </c>
      <c r="BC237" s="24">
        <f t="shared" si="88"/>
        <v>3.7111620377612113</v>
      </c>
      <c r="BD237" s="24">
        <v>14659.334800000001</v>
      </c>
      <c r="BE237" s="23">
        <v>3812.3667999999998</v>
      </c>
      <c r="BF237" s="23">
        <f>STDEVP(BE236:BE237)</f>
        <v>347.40535</v>
      </c>
      <c r="BG237" s="23">
        <v>-0.15415649816320748</v>
      </c>
      <c r="BH237" s="23">
        <v>9.8949935921286536E-2</v>
      </c>
      <c r="BI237" s="23">
        <v>0.10656051960939085</v>
      </c>
      <c r="BJ237" s="23">
        <v>2.1562568708599111E-2</v>
      </c>
      <c r="BK237" s="23">
        <v>-7.142029445803881E-2</v>
      </c>
      <c r="BL237" s="23">
        <v>4507.1774999999998</v>
      </c>
      <c r="BM237" s="22">
        <v>5297.6527999999998</v>
      </c>
      <c r="BN237" s="22">
        <f>STDEVP(BM236:BM237)</f>
        <v>1244.0394999999996</v>
      </c>
      <c r="BO237" s="22">
        <v>3.7240834919028534</v>
      </c>
      <c r="BP237" s="22">
        <v>0.26753539253539249</v>
      </c>
      <c r="BQ237" s="22">
        <v>6.1710581262600379E-2</v>
      </c>
      <c r="BR237" s="22">
        <v>0.13191313613570263</v>
      </c>
      <c r="BS237" s="22">
        <v>1033.7272</v>
      </c>
      <c r="BT237" s="22">
        <v>3.0144059438197224</v>
      </c>
      <c r="BU237" s="22">
        <v>2.6830377444292865E-2</v>
      </c>
      <c r="BV237" s="23">
        <v>5624.1768000000002</v>
      </c>
      <c r="BW237" s="23">
        <v>4754.5079999999998</v>
      </c>
      <c r="BX237" s="22">
        <v>36.121295000000003</v>
      </c>
      <c r="BY237" s="22">
        <v>1.5577633119978447</v>
      </c>
      <c r="BZ237" s="25">
        <v>4.142845301378504E-2</v>
      </c>
      <c r="CA237" s="23">
        <v>3.9397159859413521E-2</v>
      </c>
      <c r="CB237" s="23">
        <v>3.9397159859413522</v>
      </c>
      <c r="CC237" s="23">
        <v>0.59546491467218754</v>
      </c>
      <c r="CD237" s="23">
        <v>9.2024235796175066E-2</v>
      </c>
      <c r="CE237" s="23">
        <v>4.4794707066032217E-2</v>
      </c>
      <c r="CF237" s="23">
        <v>1.2422566371681414</v>
      </c>
      <c r="CG237" s="23">
        <f t="shared" si="89"/>
        <v>0.21692959434626652</v>
      </c>
      <c r="CH237" s="26">
        <v>18.309999999999999</v>
      </c>
      <c r="CI237" s="26">
        <v>28.62</v>
      </c>
      <c r="CJ237" s="26">
        <v>1.2626883443016965</v>
      </c>
      <c r="CK237" s="26">
        <v>1.4566696294237576</v>
      </c>
      <c r="CL237" s="26">
        <v>-0.36023759608665273</v>
      </c>
      <c r="CM237" s="27">
        <v>22.615402298850572</v>
      </c>
      <c r="CN237" s="27">
        <v>-0.19701858825065877</v>
      </c>
      <c r="CQ237" s="27">
        <v>115.89653846153851</v>
      </c>
      <c r="CR237" s="27">
        <v>-7.3560292322686169E-2</v>
      </c>
      <c r="CS237" s="27">
        <v>0.92888888888888932</v>
      </c>
      <c r="CT237" s="27">
        <v>0.92386973180076604</v>
      </c>
      <c r="CU237" s="27">
        <v>5.4327541160378483E-3</v>
      </c>
      <c r="CX237" s="36">
        <v>0.66</v>
      </c>
      <c r="CY237" s="28">
        <v>0.76</v>
      </c>
      <c r="CZ237" s="29">
        <v>31.998965519999999</v>
      </c>
      <c r="DA237" s="27">
        <v>-0.14155277889515908</v>
      </c>
      <c r="DD237" s="27">
        <v>1</v>
      </c>
      <c r="DF237" s="27">
        <v>92.5</v>
      </c>
      <c r="DG237" s="28">
        <v>4.5272086445183799</v>
      </c>
      <c r="DH237" s="28">
        <v>0.95414600000000005</v>
      </c>
      <c r="DI237" s="27">
        <v>2</v>
      </c>
      <c r="DJ237" s="27">
        <v>1.7</v>
      </c>
      <c r="DK237" s="27">
        <v>2</v>
      </c>
      <c r="DL237" s="27">
        <v>3.9486334619560207E-2</v>
      </c>
      <c r="DM237" s="28">
        <v>1.2363999999999999</v>
      </c>
      <c r="DN237" s="28">
        <v>1.3825000000000001</v>
      </c>
      <c r="DO237" s="28">
        <v>-0.16731915918809856</v>
      </c>
      <c r="DP237" s="28">
        <v>-0.10567811934900551</v>
      </c>
      <c r="DQ237" s="27">
        <v>0.18470000000000009</v>
      </c>
      <c r="DR237" s="27">
        <v>3.9397160000000001E-2</v>
      </c>
      <c r="DS237" s="27">
        <v>9.2024235796175066E-2</v>
      </c>
      <c r="DT237" s="27">
        <v>4.4794707066032217E-2</v>
      </c>
      <c r="DU237" s="30">
        <v>5.9865389999999996</v>
      </c>
      <c r="DV237">
        <v>0.9</v>
      </c>
      <c r="DW237">
        <v>2.8</v>
      </c>
      <c r="DX237">
        <v>85.7</v>
      </c>
      <c r="DY237">
        <v>82.9</v>
      </c>
      <c r="DZ237">
        <v>2.4</v>
      </c>
      <c r="EA237">
        <v>2</v>
      </c>
      <c r="EB237">
        <v>1.4781599999999999</v>
      </c>
    </row>
    <row r="238" spans="1:132" ht="18">
      <c r="A238" s="14" t="s">
        <v>172</v>
      </c>
      <c r="B238" s="14">
        <v>3</v>
      </c>
      <c r="C238" s="14" t="s">
        <v>141</v>
      </c>
      <c r="D238" s="14" t="s">
        <v>142</v>
      </c>
      <c r="E238" s="14" t="s">
        <v>170</v>
      </c>
      <c r="F238" s="15">
        <v>10984</v>
      </c>
      <c r="G238" s="15">
        <v>4.0407605242286984</v>
      </c>
      <c r="H238" s="15">
        <v>4365.7614999999996</v>
      </c>
      <c r="I238" s="15">
        <v>2922.0722999999998</v>
      </c>
      <c r="J238" s="16">
        <v>898.53539999999998</v>
      </c>
      <c r="K238" s="16">
        <v>1</v>
      </c>
      <c r="L238" s="17">
        <v>0.2855326511785688</v>
      </c>
      <c r="M238" s="18">
        <v>140</v>
      </c>
      <c r="N238" s="18">
        <v>57</v>
      </c>
      <c r="O238" s="18">
        <v>0.96189676706046146</v>
      </c>
      <c r="P238" s="18">
        <v>3</v>
      </c>
      <c r="Q238" s="18">
        <f t="shared" si="103"/>
        <v>2.6666666666666665</v>
      </c>
      <c r="R238" s="18">
        <v>140</v>
      </c>
      <c r="S238" s="18">
        <v>5</v>
      </c>
      <c r="T238" s="19">
        <v>13161.4182</v>
      </c>
      <c r="U238" s="19">
        <v>4.1193026889169344</v>
      </c>
      <c r="V238" s="20">
        <v>43163</v>
      </c>
      <c r="W238" s="20">
        <v>4.6351116222519959</v>
      </c>
      <c r="X238" s="20">
        <v>0.53031010418714375</v>
      </c>
      <c r="Y238" s="20">
        <v>0.27798734949999998</v>
      </c>
      <c r="Z238" s="20">
        <f t="shared" si="86"/>
        <v>-0.55597496727383522</v>
      </c>
      <c r="AA238" s="20"/>
      <c r="AB238" s="20"/>
      <c r="AC238" s="20">
        <v>10693.743899999999</v>
      </c>
      <c r="AD238" s="21">
        <v>1423.2918</v>
      </c>
      <c r="AE238" s="21">
        <f t="shared" si="94"/>
        <v>3.699893308946807E-2</v>
      </c>
      <c r="AF238" s="21">
        <f t="shared" si="95"/>
        <v>3.1532939472650852</v>
      </c>
      <c r="AG238" s="22">
        <v>0.10793258992110503</v>
      </c>
      <c r="AH238" s="22">
        <v>4152</v>
      </c>
      <c r="AI238" s="22">
        <v>3.6283337769999999</v>
      </c>
      <c r="AJ238" s="23">
        <v>81392</v>
      </c>
      <c r="AK238" s="23">
        <f t="shared" si="93"/>
        <v>4.9105817202872792</v>
      </c>
      <c r="AL238" s="24">
        <v>0.63574892900000002</v>
      </c>
      <c r="AM238" s="22">
        <v>20548</v>
      </c>
      <c r="AN238" s="22">
        <v>0.37724210101158456</v>
      </c>
      <c r="AO238" s="23">
        <v>0.19046270400396503</v>
      </c>
      <c r="AP238" s="33">
        <v>6.11234E-3</v>
      </c>
      <c r="AQ238" s="23">
        <v>-0.21379249605262821</v>
      </c>
      <c r="AR238" s="23">
        <v>38468.455199999997</v>
      </c>
      <c r="AS238" s="23">
        <v>4.585104746442342</v>
      </c>
      <c r="AT238" s="23">
        <v>4.585779161538369</v>
      </c>
      <c r="AU238" s="22">
        <v>0.26300000000000001</v>
      </c>
      <c r="AV238" s="22">
        <v>0.1487147234</v>
      </c>
      <c r="AW238" s="22">
        <v>89.835950400000002</v>
      </c>
      <c r="AX238" s="22">
        <v>88.292885999999996</v>
      </c>
      <c r="AY238" s="22">
        <v>2</v>
      </c>
      <c r="AZ238" s="24">
        <v>20702.226299999998</v>
      </c>
      <c r="BA238" s="24">
        <f t="shared" si="87"/>
        <v>4.3160170516315564</v>
      </c>
      <c r="BB238" s="24">
        <v>5326.7172</v>
      </c>
      <c r="BC238" s="24">
        <f t="shared" si="88"/>
        <v>3.7264596403290957</v>
      </c>
      <c r="BD238" s="24">
        <v>15375.509099999999</v>
      </c>
      <c r="BE238" s="23">
        <v>3943.002</v>
      </c>
      <c r="BF238" s="23">
        <f t="shared" ref="BF238:BF248" si="104">STDEVP(BE237:BE238)</f>
        <v>65.317600000000084</v>
      </c>
      <c r="BG238" s="23">
        <v>3.4266167673058158E-2</v>
      </c>
      <c r="BH238" s="23">
        <v>0.10249961896052431</v>
      </c>
      <c r="BI238" s="23">
        <v>9.8949935921286536E-2</v>
      </c>
      <c r="BJ238" s="23">
        <v>2.1562568708599111E-2</v>
      </c>
      <c r="BK238" s="23">
        <v>3.5873525396332817E-2</v>
      </c>
      <c r="BL238" s="23">
        <v>3812.3667999999998</v>
      </c>
      <c r="BM238" s="22">
        <v>4928.7524999999996</v>
      </c>
      <c r="BN238" s="22">
        <f t="shared" ref="BN238:BN247" si="105">STDEVP(BM237:BM238)</f>
        <v>184.45015000000012</v>
      </c>
      <c r="BO238" s="22">
        <v>3.6927370103675448</v>
      </c>
      <c r="BP238" s="22">
        <v>0.23807838000495626</v>
      </c>
      <c r="BQ238" s="22">
        <v>1.4728506265218114E-2</v>
      </c>
      <c r="BR238" s="22">
        <v>6.1710581262600379E-2</v>
      </c>
      <c r="BS238" s="22">
        <v>2359.2051000000001</v>
      </c>
      <c r="BT238" s="22">
        <v>3.3727656983787129</v>
      </c>
      <c r="BU238" s="22">
        <v>6.1328303612254241E-2</v>
      </c>
      <c r="BV238" s="23">
        <v>4648.7847000000002</v>
      </c>
      <c r="BW238" s="22">
        <v>5024.0294999999996</v>
      </c>
      <c r="BX238" s="22">
        <v>37.319490000000002</v>
      </c>
      <c r="BY238" s="22">
        <v>1.5719357001414724</v>
      </c>
      <c r="BZ238" s="25">
        <v>3.3171429761862034E-2</v>
      </c>
      <c r="CA238" s="23">
        <v>4.4794707066032217E-2</v>
      </c>
      <c r="CB238" s="23">
        <v>4.4794707066032213</v>
      </c>
      <c r="CC238" s="23">
        <v>0.65122670087724122</v>
      </c>
      <c r="CD238" s="23">
        <v>3.9397159859413521E-2</v>
      </c>
      <c r="CE238" s="23">
        <v>5.0715858244880299E-2</v>
      </c>
      <c r="CF238" s="23">
        <v>1.1611969111969112</v>
      </c>
      <c r="CG238" s="23">
        <f t="shared" si="89"/>
        <v>0.14945129315525046</v>
      </c>
      <c r="CH238" s="26">
        <v>13.29</v>
      </c>
      <c r="CI238" s="26">
        <v>18.309999999999999</v>
      </c>
      <c r="CJ238" s="26">
        <v>1.1235249809427319</v>
      </c>
      <c r="CK238" s="26">
        <v>1.2626883443016965</v>
      </c>
      <c r="CL238" s="26">
        <v>-0.27416712179137082</v>
      </c>
      <c r="CM238" s="27">
        <v>16.030268199233717</v>
      </c>
      <c r="CN238" s="27">
        <v>-0.29117917128326054</v>
      </c>
      <c r="CQ238" s="27">
        <v>102.09153846153851</v>
      </c>
      <c r="CR238" s="27">
        <v>-0.11911486040268011</v>
      </c>
      <c r="CS238" s="27">
        <v>0.9859003831417622</v>
      </c>
      <c r="CT238" s="27">
        <v>0.92888888888888899</v>
      </c>
      <c r="CU238" s="27">
        <v>6.1376010559312889E-2</v>
      </c>
      <c r="CV238" s="27">
        <v>1.140877862595419</v>
      </c>
      <c r="CW238" s="27">
        <v>2.0572391532349976</v>
      </c>
      <c r="CX238" s="36">
        <v>1.07</v>
      </c>
      <c r="CY238" s="28">
        <v>0.66</v>
      </c>
      <c r="CZ238" s="29">
        <v>18.886297710000001</v>
      </c>
      <c r="DA238" s="27">
        <v>-0.40978411635852152</v>
      </c>
      <c r="DD238" s="27">
        <v>1</v>
      </c>
      <c r="DF238" s="27">
        <v>92.9</v>
      </c>
      <c r="DG238" s="28">
        <v>4.5315236458197932</v>
      </c>
      <c r="DH238" s="28">
        <v>0.95896300000000001</v>
      </c>
      <c r="DI238" s="27">
        <v>1.9</v>
      </c>
      <c r="DJ238" s="27">
        <v>2.2000000000000002</v>
      </c>
      <c r="DK238" s="27">
        <v>2.1</v>
      </c>
      <c r="DL238" s="27">
        <v>5.1339710048797935E-2</v>
      </c>
      <c r="DM238" s="28">
        <v>1.1366000000000001</v>
      </c>
      <c r="DN238" s="28">
        <v>1.2363999999999999</v>
      </c>
      <c r="DO238" s="28">
        <v>-0.10567811934900551</v>
      </c>
      <c r="DP238" s="28">
        <v>-8.0718214170171373E-2</v>
      </c>
      <c r="DQ238" s="27">
        <v>0.18440000000000012</v>
      </c>
      <c r="DR238" s="27">
        <v>4.4794707000000003E-2</v>
      </c>
      <c r="DS238" s="27">
        <v>3.9397159859413521E-2</v>
      </c>
      <c r="DT238" s="27">
        <v>5.0715858244880299E-2</v>
      </c>
      <c r="DU238" s="30">
        <v>5.5230399999999999</v>
      </c>
      <c r="DV238">
        <v>0.3</v>
      </c>
      <c r="DW238">
        <v>2.6</v>
      </c>
      <c r="DX238">
        <v>88</v>
      </c>
      <c r="DY238">
        <v>85.1</v>
      </c>
      <c r="DZ238">
        <v>2</v>
      </c>
      <c r="EA238">
        <v>1.5</v>
      </c>
      <c r="EB238">
        <v>1.913224</v>
      </c>
    </row>
    <row r="239" spans="1:132" ht="18">
      <c r="A239" s="14" t="s">
        <v>172</v>
      </c>
      <c r="B239" s="14">
        <v>4</v>
      </c>
      <c r="C239" s="14" t="s">
        <v>141</v>
      </c>
      <c r="D239" s="14" t="s">
        <v>142</v>
      </c>
      <c r="E239" s="14" t="s">
        <v>170</v>
      </c>
      <c r="F239" s="15">
        <v>9580</v>
      </c>
      <c r="G239" s="15">
        <v>3.9813655090785445</v>
      </c>
      <c r="H239" s="15">
        <v>6886.8991999999998</v>
      </c>
      <c r="I239" s="15">
        <v>37.1492</v>
      </c>
      <c r="J239" s="16">
        <v>0</v>
      </c>
      <c r="K239" s="16">
        <v>1</v>
      </c>
      <c r="L239" s="17">
        <v>0.19654052728450688</v>
      </c>
      <c r="M239" s="18">
        <v>140</v>
      </c>
      <c r="N239" s="18">
        <v>57</v>
      </c>
      <c r="O239" s="18">
        <v>0.96189676706046146</v>
      </c>
      <c r="P239" s="18">
        <v>3</v>
      </c>
      <c r="Q239" s="18">
        <f t="shared" si="103"/>
        <v>2.6666666666666665</v>
      </c>
      <c r="R239" s="18">
        <v>140</v>
      </c>
      <c r="S239" s="18">
        <v>5</v>
      </c>
      <c r="T239" s="19">
        <v>17064.991600000001</v>
      </c>
      <c r="U239" s="19">
        <v>4.2321060788394131</v>
      </c>
      <c r="V239" s="20">
        <v>47365</v>
      </c>
      <c r="W239" s="20">
        <v>4.675457541641209</v>
      </c>
      <c r="X239" s="20">
        <v>0.52092956755092168</v>
      </c>
      <c r="Y239" s="20">
        <v>0.34218457699999999</v>
      </c>
      <c r="Z239" s="20">
        <f t="shared" si="86"/>
        <v>-0.46573956894670582</v>
      </c>
      <c r="AA239" s="20"/>
      <c r="AB239" s="20"/>
      <c r="AC239" s="20">
        <v>16679.146499999999</v>
      </c>
      <c r="AD239" s="21">
        <v>948.14890000000003</v>
      </c>
      <c r="AE239" s="21">
        <f t="shared" si="94"/>
        <v>1.9451950391464006E-2</v>
      </c>
      <c r="AF239" s="21">
        <f t="shared" si="95"/>
        <v>2.9768765455346782</v>
      </c>
      <c r="AG239" s="22">
        <v>9.8988313585359672E-2</v>
      </c>
      <c r="AH239" s="22">
        <v>4825</v>
      </c>
      <c r="AI239" s="22">
        <v>3.7054336029999999</v>
      </c>
      <c r="AJ239" s="23">
        <v>90924</v>
      </c>
      <c r="AK239" s="23">
        <f t="shared" si="93"/>
        <v>4.9586785332970535</v>
      </c>
      <c r="AL239" s="24">
        <v>0.62746802400000001</v>
      </c>
      <c r="AM239" s="22">
        <v>24568</v>
      </c>
      <c r="AN239" s="22">
        <v>0.42555255317674773</v>
      </c>
      <c r="AO239" s="23">
        <v>0.19064323854464177</v>
      </c>
      <c r="AP239" s="33">
        <v>1.818225E-2</v>
      </c>
      <c r="AQ239" s="23">
        <v>0.25964762487721865</v>
      </c>
      <c r="AR239" s="23">
        <v>48743.1276</v>
      </c>
      <c r="AS239" s="23">
        <v>4.6879133922234093</v>
      </c>
      <c r="AT239" s="23">
        <v>4.585104746442342</v>
      </c>
      <c r="AU239" s="22">
        <v>0.314</v>
      </c>
      <c r="AV239" s="22">
        <v>0.2152247075</v>
      </c>
      <c r="AW239" s="22">
        <v>103.7534941</v>
      </c>
      <c r="AX239" s="22">
        <v>89.835950400000002</v>
      </c>
      <c r="AY239" s="22">
        <v>3</v>
      </c>
      <c r="AZ239" s="24">
        <v>27196.5916</v>
      </c>
      <c r="BA239" s="24">
        <f t="shared" si="87"/>
        <v>4.4345144796936102</v>
      </c>
      <c r="BB239" s="24">
        <v>7487.2524000000003</v>
      </c>
      <c r="BC239" s="24">
        <f t="shared" si="88"/>
        <v>3.874322473715671</v>
      </c>
      <c r="BD239" s="24">
        <v>19709.339199999999</v>
      </c>
      <c r="BE239" s="23">
        <v>5184.8463000000002</v>
      </c>
      <c r="BF239" s="23">
        <f t="shared" si="104"/>
        <v>620.9221500000001</v>
      </c>
      <c r="BG239" s="23">
        <v>0.31494893991938128</v>
      </c>
      <c r="BH239" s="23">
        <v>0.10637081687798795</v>
      </c>
      <c r="BI239" s="23">
        <v>0.10249961896052431</v>
      </c>
      <c r="BJ239" s="23">
        <v>2.1562568708599111E-2</v>
      </c>
      <c r="BK239" s="23">
        <v>3.7767924961306973E-2</v>
      </c>
      <c r="BL239" s="23">
        <v>3943.002</v>
      </c>
      <c r="BM239" s="22">
        <v>6733.2924999999996</v>
      </c>
      <c r="BN239" s="22">
        <f t="shared" si="105"/>
        <v>902.27000000000157</v>
      </c>
      <c r="BO239" s="22">
        <v>3.8282274810024393</v>
      </c>
      <c r="BP239" s="22">
        <v>0.24757854215820191</v>
      </c>
      <c r="BQ239" s="22">
        <v>4.7500810766228224E-3</v>
      </c>
      <c r="BR239" s="22">
        <v>1.4728506265218114E-2</v>
      </c>
      <c r="BS239" s="22">
        <v>6289.1907000000001</v>
      </c>
      <c r="BT239" s="22">
        <v>3.7985947635474471</v>
      </c>
      <c r="BU239" s="22">
        <v>0.12902722926626481</v>
      </c>
      <c r="BV239" s="23">
        <v>6517.1517000000003</v>
      </c>
      <c r="BW239" s="22">
        <v>7137.7121999999999</v>
      </c>
      <c r="BX239" s="22">
        <v>44.606299999999997</v>
      </c>
      <c r="BY239" s="22">
        <v>1.649396200909734</v>
      </c>
      <c r="BZ239" s="25">
        <v>0.19525481189587518</v>
      </c>
      <c r="CA239" s="23">
        <v>5.0715858244880299E-2</v>
      </c>
      <c r="CB239" s="23">
        <v>5.0715858244880296</v>
      </c>
      <c r="CC239" s="23">
        <v>0.70514377928140926</v>
      </c>
      <c r="CD239" s="23">
        <v>4.4794707066032217E-2</v>
      </c>
      <c r="CE239" s="23">
        <v>3.3060002783176973E-2</v>
      </c>
      <c r="CF239" s="23">
        <v>1.3095890410958904</v>
      </c>
      <c r="CG239" s="23">
        <f t="shared" si="89"/>
        <v>0.26971337890896441</v>
      </c>
      <c r="CH239" s="26">
        <v>12.07</v>
      </c>
      <c r="CI239" s="26">
        <v>13.29</v>
      </c>
      <c r="CJ239" s="26">
        <v>1.0817072700973491</v>
      </c>
      <c r="CK239" s="26">
        <v>1.1235249809427319</v>
      </c>
      <c r="CL239" s="26">
        <v>-9.1798344620014974E-2</v>
      </c>
      <c r="CM239" s="27">
        <v>13.248115384615385</v>
      </c>
      <c r="CN239" s="27">
        <v>-0.17355622376619531</v>
      </c>
      <c r="CQ239" s="27">
        <v>81.715444015443992</v>
      </c>
      <c r="CR239" s="27">
        <v>-0.1995865157206041</v>
      </c>
      <c r="CS239" s="27">
        <v>0.91873076923076902</v>
      </c>
      <c r="CT239" s="27">
        <v>0.9859003831417622</v>
      </c>
      <c r="CU239" s="27">
        <v>-6.8130223965370842E-2</v>
      </c>
      <c r="CV239" s="27">
        <v>1.0315769230769232</v>
      </c>
      <c r="CW239" s="27">
        <v>2.0135016181765906</v>
      </c>
      <c r="CX239" s="36">
        <v>0.94</v>
      </c>
      <c r="CY239" s="28">
        <v>1.07</v>
      </c>
      <c r="CZ239" s="29">
        <v>14.03142308</v>
      </c>
      <c r="DA239" s="27">
        <v>-0.25705803776615366</v>
      </c>
      <c r="DD239" s="27">
        <v>1</v>
      </c>
      <c r="DF239" s="27">
        <v>93.5</v>
      </c>
      <c r="DG239" s="28">
        <v>4.5379614362946414</v>
      </c>
      <c r="DH239" s="28">
        <v>0.96408899999999997</v>
      </c>
      <c r="DI239" s="27">
        <v>1.7</v>
      </c>
      <c r="DJ239" s="27">
        <v>1.4</v>
      </c>
      <c r="DK239" s="27">
        <v>1.5</v>
      </c>
      <c r="DL239" s="27">
        <v>2.5206847372050912E-2</v>
      </c>
      <c r="DM239" s="28">
        <v>1.3178000000000001</v>
      </c>
      <c r="DN239" s="28">
        <v>1.1366000000000001</v>
      </c>
      <c r="DO239" s="28">
        <v>-8.0718214170171373E-2</v>
      </c>
      <c r="DP239" s="28">
        <v>0.15942284004926977</v>
      </c>
      <c r="DQ239" s="27">
        <v>0.17920000000000003</v>
      </c>
      <c r="DR239" s="27">
        <v>5.0715858000000003E-2</v>
      </c>
      <c r="DS239" s="27">
        <v>4.4794707066032217E-2</v>
      </c>
      <c r="DT239" s="27">
        <v>3.3060002783176973E-2</v>
      </c>
      <c r="DU239" s="30">
        <v>5.0767810000000004</v>
      </c>
      <c r="DV239">
        <v>-0.3</v>
      </c>
      <c r="DW239">
        <v>0.7</v>
      </c>
      <c r="DX239">
        <v>90.9</v>
      </c>
      <c r="DY239">
        <v>87.4</v>
      </c>
      <c r="DZ239">
        <v>1.6</v>
      </c>
      <c r="EA239">
        <v>1</v>
      </c>
      <c r="EB239">
        <v>2.1595819999999999</v>
      </c>
    </row>
    <row r="240" spans="1:132" ht="18">
      <c r="A240" s="14" t="s">
        <v>172</v>
      </c>
      <c r="B240" s="14">
        <v>5</v>
      </c>
      <c r="C240" s="14" t="s">
        <v>141</v>
      </c>
      <c r="D240" s="14" t="s">
        <v>142</v>
      </c>
      <c r="E240" s="14" t="s">
        <v>170</v>
      </c>
      <c r="F240" s="15">
        <v>10762</v>
      </c>
      <c r="G240" s="15">
        <v>4.0318929877104752</v>
      </c>
      <c r="H240" s="15">
        <v>6420.7950000000001</v>
      </c>
      <c r="I240" s="15">
        <v>1705.6648</v>
      </c>
      <c r="J240" s="16">
        <v>0</v>
      </c>
      <c r="K240" s="16">
        <v>1</v>
      </c>
      <c r="L240" s="17">
        <v>0.20893330960581938</v>
      </c>
      <c r="M240" s="18">
        <v>140</v>
      </c>
      <c r="N240" s="18">
        <v>57</v>
      </c>
      <c r="O240" s="18">
        <v>0.96189676706046146</v>
      </c>
      <c r="P240" s="18">
        <v>3</v>
      </c>
      <c r="Q240" s="18">
        <f t="shared" si="103"/>
        <v>2.6666666666666665</v>
      </c>
      <c r="R240" s="18">
        <v>140</v>
      </c>
      <c r="S240" s="18">
        <v>5</v>
      </c>
      <c r="T240" s="19">
        <v>17745.124599999999</v>
      </c>
      <c r="U240" s="19">
        <v>4.2490790531568416</v>
      </c>
      <c r="V240" s="20">
        <v>52830</v>
      </c>
      <c r="W240" s="20">
        <v>4.7228806106869392</v>
      </c>
      <c r="X240" s="20">
        <v>0.56058403454971828</v>
      </c>
      <c r="Y240" s="20">
        <v>0.33275496999999998</v>
      </c>
      <c r="Z240" s="20">
        <f t="shared" si="86"/>
        <v>-0.47787544921931041</v>
      </c>
      <c r="AA240" s="20"/>
      <c r="AB240" s="20"/>
      <c r="AC240" s="20">
        <v>17139.962</v>
      </c>
      <c r="AD240" s="21">
        <v>395.36279999999999</v>
      </c>
      <c r="AE240" s="21">
        <f t="shared" si="94"/>
        <v>7.6755675802846722E-3</v>
      </c>
      <c r="AF240" s="21">
        <f t="shared" si="95"/>
        <v>2.5969958037870695</v>
      </c>
      <c r="AG240" s="22">
        <v>0.1038454072738829</v>
      </c>
      <c r="AH240" s="22">
        <v>5349</v>
      </c>
      <c r="AI240" s="22">
        <v>3.2692400830000001</v>
      </c>
      <c r="AJ240" s="23">
        <v>94241</v>
      </c>
      <c r="AK240" s="23">
        <f t="shared" si="93"/>
        <v>4.9742398858065417</v>
      </c>
      <c r="AL240" s="24">
        <v>0.68121420099999996</v>
      </c>
      <c r="AM240" s="22">
        <v>26714</v>
      </c>
      <c r="AN240" s="22">
        <v>0.39280672862016236</v>
      </c>
      <c r="AO240" s="23">
        <v>0.20940307620736776</v>
      </c>
      <c r="AP240" s="33">
        <v>1.9736066E-2</v>
      </c>
      <c r="AQ240" s="23">
        <v>0.29526058882196532</v>
      </c>
      <c r="AR240" s="23">
        <v>51509.2592</v>
      </c>
      <c r="AS240" s="23">
        <v>4.711885303954241</v>
      </c>
      <c r="AT240" s="23">
        <v>4.6879133922234093</v>
      </c>
      <c r="AU240" s="22">
        <v>0.23699999999999999</v>
      </c>
      <c r="AV240" s="22">
        <v>0.13387568650000001</v>
      </c>
      <c r="AW240" s="22">
        <v>102.249</v>
      </c>
      <c r="AX240" s="22">
        <v>103.7534941</v>
      </c>
      <c r="AY240" s="22">
        <v>3</v>
      </c>
      <c r="AZ240" s="24">
        <v>26049.2582</v>
      </c>
      <c r="BA240" s="24">
        <f t="shared" si="87"/>
        <v>4.4157953604864577</v>
      </c>
      <c r="BB240" s="24">
        <v>7127.8914000000004</v>
      </c>
      <c r="BC240" s="24">
        <f t="shared" si="88"/>
        <v>3.8529610742022151</v>
      </c>
      <c r="BD240" s="24">
        <v>18921.3668</v>
      </c>
      <c r="BE240" s="23">
        <v>5454.7947999999997</v>
      </c>
      <c r="BF240" s="23">
        <f t="shared" si="104"/>
        <v>134.97424999999976</v>
      </c>
      <c r="BG240" s="23">
        <v>5.2064899204437264E-2</v>
      </c>
      <c r="BH240" s="23">
        <v>0.10589930596400422</v>
      </c>
      <c r="BI240" s="23">
        <v>0.10637081687798795</v>
      </c>
      <c r="BJ240" s="23">
        <v>2.1562568708599111E-2</v>
      </c>
      <c r="BK240" s="23">
        <v>-4.4327093447498319E-3</v>
      </c>
      <c r="BL240" s="23">
        <v>5184.8463000000002</v>
      </c>
      <c r="BM240" s="22">
        <v>6596.9539999999997</v>
      </c>
      <c r="BN240" s="22">
        <f t="shared" si="105"/>
        <v>68.16924999999992</v>
      </c>
      <c r="BO240" s="22">
        <v>3.8193434557924708</v>
      </c>
      <c r="BP240" s="22">
        <v>0.25324920768761083</v>
      </c>
      <c r="BQ240" s="22">
        <v>2.8353327647044624E-3</v>
      </c>
      <c r="BR240" s="22">
        <v>4.7500810766228224E-3</v>
      </c>
      <c r="BS240" s="22">
        <v>4979.9049999999997</v>
      </c>
      <c r="BT240" s="22">
        <v>3.6972210579466029</v>
      </c>
      <c r="BU240" s="22">
        <v>9.6679802376191032E-2</v>
      </c>
      <c r="BV240" s="23">
        <v>8744.1829999999991</v>
      </c>
      <c r="BW240" s="22">
        <v>5528.2626</v>
      </c>
      <c r="BX240" s="22">
        <v>43.983525</v>
      </c>
      <c r="BY240" s="22">
        <v>1.6432900323622339</v>
      </c>
      <c r="BZ240" s="25">
        <v>-1.3961592869168643E-2</v>
      </c>
      <c r="CA240" s="23">
        <v>3.3060002783176973E-2</v>
      </c>
      <c r="CB240" s="23">
        <v>3.3060002783176974</v>
      </c>
      <c r="CC240" s="23">
        <v>0.5193028857967823</v>
      </c>
      <c r="CD240" s="23">
        <v>5.0715858244880299E-2</v>
      </c>
      <c r="CE240" s="23">
        <v>3.7342075762805009E-2</v>
      </c>
      <c r="CF240" s="23">
        <v>1.2120974076983504</v>
      </c>
      <c r="CG240" s="23">
        <f t="shared" si="89"/>
        <v>0.19235225380575435</v>
      </c>
      <c r="CH240" s="26">
        <v>11.56</v>
      </c>
      <c r="CI240" s="26">
        <v>12.07</v>
      </c>
      <c r="CJ240" s="26">
        <v>1.0629578340845103</v>
      </c>
      <c r="CK240" s="26">
        <v>1.0817072700973491</v>
      </c>
      <c r="CL240" s="26">
        <v>-4.2253521126760542E-2</v>
      </c>
      <c r="CM240" s="27">
        <v>13.296884615384608</v>
      </c>
      <c r="CN240" s="27">
        <v>3.681220260646025E-3</v>
      </c>
      <c r="CQ240" s="27">
        <v>67.989575289575299</v>
      </c>
      <c r="CR240" s="27">
        <v>-0.167971536975</v>
      </c>
      <c r="CS240" s="27">
        <v>0.84238461538461584</v>
      </c>
      <c r="CT240" s="27">
        <v>0.91873076923076902</v>
      </c>
      <c r="CU240" s="27">
        <v>-8.3099593921379125E-2</v>
      </c>
      <c r="CV240" s="27">
        <v>0.92230769230769172</v>
      </c>
      <c r="CW240" s="27">
        <v>1.9648758307920116</v>
      </c>
      <c r="CX240" s="36">
        <v>0.56000000000000005</v>
      </c>
      <c r="CY240" s="28">
        <v>0.94</v>
      </c>
      <c r="CZ240" s="29">
        <v>16.52657692</v>
      </c>
      <c r="DA240" s="27">
        <v>0.17782614249273998</v>
      </c>
      <c r="DD240" s="27">
        <v>1</v>
      </c>
      <c r="DF240" s="27">
        <v>95.3</v>
      </c>
      <c r="DG240" s="28">
        <v>4.5570298106601568</v>
      </c>
      <c r="DH240" s="28">
        <v>0.97015300000000004</v>
      </c>
      <c r="DI240" s="27">
        <v>1.7</v>
      </c>
      <c r="DJ240" s="27">
        <v>0.5</v>
      </c>
      <c r="DK240" s="27">
        <v>1.8</v>
      </c>
      <c r="DL240" s="27">
        <v>4.3522882118483493E-2</v>
      </c>
      <c r="DM240" s="28">
        <v>1.2209000000000001</v>
      </c>
      <c r="DN240" s="28">
        <v>1.3178000000000001</v>
      </c>
      <c r="DO240" s="28">
        <v>0.15942284004926977</v>
      </c>
      <c r="DP240" s="28">
        <v>-7.3531643648505063E-2</v>
      </c>
      <c r="DQ240" s="27">
        <v>0.12960000000000016</v>
      </c>
      <c r="DR240" s="27">
        <v>3.3060002999999998E-2</v>
      </c>
      <c r="DS240" s="27">
        <v>5.0715858244880299E-2</v>
      </c>
      <c r="DT240" s="27">
        <v>3.7342075762805009E-2</v>
      </c>
      <c r="DU240" s="30">
        <v>4.6174650000000002</v>
      </c>
      <c r="DV240">
        <v>-0.5</v>
      </c>
      <c r="DW240">
        <v>-0.4</v>
      </c>
      <c r="DX240">
        <v>93.7</v>
      </c>
      <c r="DY240">
        <v>89.8</v>
      </c>
      <c r="DZ240">
        <v>1.6</v>
      </c>
      <c r="EA240">
        <v>1.7</v>
      </c>
      <c r="EB240">
        <v>2.2385109999999999</v>
      </c>
    </row>
    <row r="241" spans="1:132" ht="18">
      <c r="A241" s="14" t="s">
        <v>172</v>
      </c>
      <c r="B241" s="14">
        <v>6</v>
      </c>
      <c r="C241" s="14" t="s">
        <v>141</v>
      </c>
      <c r="D241" s="14" t="s">
        <v>142</v>
      </c>
      <c r="E241" s="14" t="s">
        <v>170</v>
      </c>
      <c r="F241" s="15">
        <v>15684</v>
      </c>
      <c r="G241" s="15">
        <v>4.1954568336281692</v>
      </c>
      <c r="H241" s="15">
        <v>8786.8338000000003</v>
      </c>
      <c r="I241" s="15">
        <v>2098.11</v>
      </c>
      <c r="J241" s="16">
        <v>0</v>
      </c>
      <c r="K241" s="16">
        <v>1</v>
      </c>
      <c r="L241" s="17">
        <v>0.30594270889211833</v>
      </c>
      <c r="M241" s="18">
        <v>140</v>
      </c>
      <c r="N241" s="18">
        <v>57</v>
      </c>
      <c r="O241" s="18">
        <v>0.96189676706046146</v>
      </c>
      <c r="P241" s="18">
        <v>3</v>
      </c>
      <c r="Q241" s="18">
        <f t="shared" si="103"/>
        <v>2.6666666666666665</v>
      </c>
      <c r="R241" s="18">
        <v>140</v>
      </c>
      <c r="S241" s="18">
        <v>5</v>
      </c>
      <c r="T241" s="19">
        <v>16086.868</v>
      </c>
      <c r="U241" s="19">
        <v>4.2064714982494076</v>
      </c>
      <c r="V241" s="20">
        <v>49260</v>
      </c>
      <c r="W241" s="20">
        <v>4.6924944075030846</v>
      </c>
      <c r="X241" s="20">
        <v>0.50162932790224035</v>
      </c>
      <c r="Y241" s="20">
        <v>0.3109791656</v>
      </c>
      <c r="Z241" s="20">
        <f t="shared" si="86"/>
        <v>-0.50726870604726648</v>
      </c>
      <c r="AA241" s="20"/>
      <c r="AB241" s="20"/>
      <c r="AC241" s="20">
        <v>15932.056</v>
      </c>
      <c r="AD241" s="21">
        <v>369.37599999999998</v>
      </c>
      <c r="AE241" s="21">
        <f t="shared" si="94"/>
        <v>7.2052980132450324E-3</v>
      </c>
      <c r="AF241" s="21">
        <f t="shared" si="95"/>
        <v>2.5674686739786816</v>
      </c>
      <c r="AG241" s="22">
        <v>4.1607740249100252E-2</v>
      </c>
      <c r="AH241" s="22">
        <v>2133</v>
      </c>
      <c r="AI241" s="22">
        <v>2.5080775769999999</v>
      </c>
      <c r="AJ241" s="23">
        <v>98200</v>
      </c>
      <c r="AK241" s="23">
        <f t="shared" si="93"/>
        <v>4.9921114877869499</v>
      </c>
      <c r="AL241" s="24">
        <v>0.62229460000000003</v>
      </c>
      <c r="AM241" s="22">
        <v>26056</v>
      </c>
      <c r="AN241" s="22">
        <v>0.34533213168637017</v>
      </c>
      <c r="AO241" s="23">
        <v>0.31435175457028791</v>
      </c>
      <c r="AP241" s="33">
        <v>2.5736539999999999E-2</v>
      </c>
      <c r="AQ241" s="23">
        <v>0.41055016028744346</v>
      </c>
      <c r="AR241" s="23">
        <v>51264.5</v>
      </c>
      <c r="AS241" s="23">
        <v>4.7098167259096897</v>
      </c>
      <c r="AT241" s="23">
        <v>4.711885303954241</v>
      </c>
      <c r="AU241" s="22">
        <v>0.17799999999999999</v>
      </c>
      <c r="AV241" s="22">
        <v>7.9644627100000004E-2</v>
      </c>
      <c r="AW241" s="22">
        <v>84.120631000000003</v>
      </c>
      <c r="AX241" s="22">
        <v>102.249</v>
      </c>
      <c r="AY241" s="22">
        <v>2</v>
      </c>
      <c r="AZ241" s="24">
        <v>25850.887999999999</v>
      </c>
      <c r="BA241" s="24">
        <f t="shared" si="87"/>
        <v>4.4124754660712027</v>
      </c>
      <c r="BB241" s="24">
        <v>7490.7280000000001</v>
      </c>
      <c r="BC241" s="24">
        <f t="shared" si="88"/>
        <v>3.8745240274482948</v>
      </c>
      <c r="BD241" s="24">
        <v>18360.16</v>
      </c>
      <c r="BE241" s="23">
        <v>8126.2720000000008</v>
      </c>
      <c r="BF241" s="23">
        <f t="shared" si="104"/>
        <v>1335.7386000000001</v>
      </c>
      <c r="BG241" s="23">
        <v>0.48974843196668028</v>
      </c>
      <c r="BH241" s="23">
        <v>0.15851655629139075</v>
      </c>
      <c r="BI241" s="23">
        <v>0.10589930596400422</v>
      </c>
      <c r="BJ241" s="23">
        <v>2.1562568708599111E-2</v>
      </c>
      <c r="BK241" s="23">
        <v>0.49686114416341337</v>
      </c>
      <c r="BL241" s="23">
        <v>5454.7947999999997</v>
      </c>
      <c r="BM241" s="22">
        <v>6253.59</v>
      </c>
      <c r="BN241" s="22">
        <f t="shared" si="105"/>
        <v>171.68199999999979</v>
      </c>
      <c r="BO241" s="22">
        <v>3.7961294044773508</v>
      </c>
      <c r="BP241" s="22">
        <v>0.24191006513973526</v>
      </c>
      <c r="BQ241" s="22">
        <v>5.6695712739377874E-3</v>
      </c>
      <c r="BR241" s="22">
        <v>2.8353327647044624E-3</v>
      </c>
      <c r="BS241" s="22">
        <v>4239.6760000000004</v>
      </c>
      <c r="BT241" s="22">
        <v>3.6273326686708818</v>
      </c>
      <c r="BU241" s="22">
        <v>8.27019867549669E-2</v>
      </c>
      <c r="BV241" s="23">
        <v>10566.598</v>
      </c>
      <c r="BW241" s="22">
        <v>3934.1260000000002</v>
      </c>
      <c r="BX241" s="22">
        <v>37.421460000000003</v>
      </c>
      <c r="BY241" s="22">
        <v>1.5731207275139185</v>
      </c>
      <c r="BZ241" s="25">
        <v>-0.14919370377885804</v>
      </c>
      <c r="CA241" s="23">
        <v>3.7342075762805009E-2</v>
      </c>
      <c r="CB241" s="23">
        <v>3.7342075762805007</v>
      </c>
      <c r="CC241" s="23">
        <v>0.57219845574684403</v>
      </c>
      <c r="CD241" s="23">
        <v>3.3060002783176973E-2</v>
      </c>
      <c r="CE241" s="23">
        <v>5.8856965773153337E-2</v>
      </c>
      <c r="CF241" s="23">
        <v>1.2971329278887924</v>
      </c>
      <c r="CG241" s="23">
        <f t="shared" si="89"/>
        <v>0.26015638881730779</v>
      </c>
      <c r="CH241" s="26">
        <v>22.5</v>
      </c>
      <c r="CI241" s="26">
        <v>11.56</v>
      </c>
      <c r="CJ241" s="26">
        <v>1.3521825181113625</v>
      </c>
      <c r="CK241" s="26">
        <v>1.0629578340845103</v>
      </c>
      <c r="CL241" s="26">
        <v>0.94636678200692037</v>
      </c>
      <c r="CM241" s="27">
        <v>18.34360153256705</v>
      </c>
      <c r="CN241" s="27">
        <v>0.37954130333231201</v>
      </c>
      <c r="CQ241" s="27">
        <v>77.833846153846167</v>
      </c>
      <c r="CR241" s="27">
        <v>0.14479088628430173</v>
      </c>
      <c r="CS241" s="27">
        <v>0.72605363984674265</v>
      </c>
      <c r="CT241" s="27">
        <v>0.84238461538461584</v>
      </c>
      <c r="CU241" s="27">
        <v>-0.13809722235342442</v>
      </c>
      <c r="CV241" s="27">
        <v>0.78180076628352502</v>
      </c>
      <c r="CW241" s="27">
        <v>1.8930960917710087</v>
      </c>
      <c r="CX241" s="36">
        <v>0.88</v>
      </c>
      <c r="CY241" s="28">
        <v>0.56000000000000005</v>
      </c>
      <c r="CZ241" s="29">
        <v>19.614636019999999</v>
      </c>
      <c r="DA241" s="27">
        <v>0.18685412683753744</v>
      </c>
      <c r="DD241" s="27">
        <v>1</v>
      </c>
      <c r="DF241" s="27">
        <v>97.4</v>
      </c>
      <c r="DG241" s="28">
        <v>4.5788262106484892</v>
      </c>
      <c r="DH241" s="28">
        <v>0.97602500000000003</v>
      </c>
      <c r="DI241" s="27">
        <v>1.7</v>
      </c>
      <c r="DJ241" s="27">
        <v>0.6</v>
      </c>
      <c r="DK241" s="27">
        <v>1.8</v>
      </c>
      <c r="DL241" s="27">
        <v>5.0330093261911138E-2</v>
      </c>
      <c r="DM241" s="28">
        <v>1.1319999999999999</v>
      </c>
      <c r="DN241" s="28">
        <v>1.2209000000000001</v>
      </c>
      <c r="DO241" s="28">
        <v>-7.3531643648505063E-2</v>
      </c>
      <c r="DP241" s="28">
        <v>-7.2815136374805634E-2</v>
      </c>
      <c r="DQ241" s="27">
        <v>0.1532</v>
      </c>
      <c r="DR241" s="27">
        <v>3.7342076000000002E-2</v>
      </c>
      <c r="DS241" s="27">
        <v>3.3060002783176973E-2</v>
      </c>
      <c r="DT241" s="27">
        <v>5.8856965773153337E-2</v>
      </c>
      <c r="DU241" s="30">
        <v>4.6191050000000002</v>
      </c>
      <c r="DV241">
        <v>-0.9</v>
      </c>
      <c r="DW241">
        <v>-0.7</v>
      </c>
      <c r="DX241">
        <v>96.2</v>
      </c>
      <c r="DY241">
        <v>92.4</v>
      </c>
      <c r="DZ241">
        <v>2.1</v>
      </c>
      <c r="EA241">
        <v>1.9</v>
      </c>
      <c r="EB241">
        <v>2.1588159999999998</v>
      </c>
    </row>
    <row r="242" spans="1:132" ht="18">
      <c r="A242" s="14" t="s">
        <v>172</v>
      </c>
      <c r="B242" s="14">
        <v>7</v>
      </c>
      <c r="C242" s="14" t="s">
        <v>141</v>
      </c>
      <c r="D242" s="14" t="s">
        <v>142</v>
      </c>
      <c r="E242" s="14" t="s">
        <v>170</v>
      </c>
      <c r="F242" s="15">
        <v>7464</v>
      </c>
      <c r="G242" s="15">
        <v>3.8729716307384434</v>
      </c>
      <c r="H242" s="15">
        <v>5094.9107999999997</v>
      </c>
      <c r="I242" s="15">
        <v>200.05080000000001</v>
      </c>
      <c r="J242" s="16">
        <v>0</v>
      </c>
      <c r="K242" s="16">
        <v>1</v>
      </c>
      <c r="L242" s="17">
        <v>0.1343750641360083</v>
      </c>
      <c r="M242" s="18">
        <v>140</v>
      </c>
      <c r="N242" s="18">
        <v>57</v>
      </c>
      <c r="O242" s="18">
        <v>0.96189676706046146</v>
      </c>
      <c r="P242" s="18">
        <v>3</v>
      </c>
      <c r="Q242" s="18">
        <f t="shared" si="103"/>
        <v>2.6666666666666665</v>
      </c>
      <c r="R242" s="18">
        <v>140</v>
      </c>
      <c r="S242" s="18">
        <v>5</v>
      </c>
      <c r="T242" s="19">
        <v>16617.695</v>
      </c>
      <c r="U242" s="19">
        <v>4.2205707836957398</v>
      </c>
      <c r="V242" s="20">
        <v>39888</v>
      </c>
      <c r="W242" s="20">
        <v>4.6008422611596984</v>
      </c>
      <c r="X242" s="20">
        <v>0.41241974006637921</v>
      </c>
      <c r="Y242" s="20">
        <v>0.30707927299999999</v>
      </c>
      <c r="Z242" s="20">
        <f t="shared" si="86"/>
        <v>-0.51274949624176291</v>
      </c>
      <c r="AA242" s="20"/>
      <c r="AB242" s="20"/>
      <c r="AC242" s="20">
        <v>17056.813600000001</v>
      </c>
      <c r="AD242" s="21">
        <v>1489.0306</v>
      </c>
      <c r="AE242" s="21">
        <f t="shared" si="94"/>
        <v>2.680715197956577E-2</v>
      </c>
      <c r="AF242" s="21">
        <f t="shared" si="95"/>
        <v>3.1729036227183243</v>
      </c>
      <c r="AG242" s="22">
        <v>4.041693716309467E-2</v>
      </c>
      <c r="AH242" s="22">
        <v>2245</v>
      </c>
      <c r="AI242" s="22">
        <v>2.24041874</v>
      </c>
      <c r="AJ242" s="23">
        <v>96717</v>
      </c>
      <c r="AK242" s="23">
        <f t="shared" si="93"/>
        <v>4.9855028169712829</v>
      </c>
      <c r="AL242" s="24">
        <v>0.56501604000000005</v>
      </c>
      <c r="AM242" s="22">
        <v>27862</v>
      </c>
      <c r="AN242" s="22">
        <v>0.3558410707671873</v>
      </c>
      <c r="AO242" s="23">
        <v>0.19858173134904364</v>
      </c>
      <c r="AP242" s="33">
        <v>4.0435066999999998E-2</v>
      </c>
      <c r="AQ242" s="23">
        <v>0.60675816706345653</v>
      </c>
      <c r="AR242" s="23">
        <v>55546.020000000004</v>
      </c>
      <c r="AS242" s="23">
        <v>4.7446529461938676</v>
      </c>
      <c r="AT242" s="23">
        <v>4.7098167259096897</v>
      </c>
      <c r="AU242" s="22">
        <v>0.21299999999999999</v>
      </c>
      <c r="AV242" s="22">
        <v>0.10357518490000001</v>
      </c>
      <c r="AW242" s="22">
        <v>80.162199999999999</v>
      </c>
      <c r="AX242" s="22">
        <v>84.120631000000003</v>
      </c>
      <c r="AY242" s="22">
        <v>2</v>
      </c>
      <c r="AZ242" s="24">
        <v>29411.014599999999</v>
      </c>
      <c r="BA242" s="24">
        <f t="shared" si="87"/>
        <v>4.4685100067437542</v>
      </c>
      <c r="BB242" s="24">
        <v>8114.8266000000003</v>
      </c>
      <c r="BC242" s="24">
        <f t="shared" si="88"/>
        <v>3.909279244129257</v>
      </c>
      <c r="BD242" s="24">
        <v>21296.187999999998</v>
      </c>
      <c r="BE242" s="23">
        <v>5840.4902000000002</v>
      </c>
      <c r="BF242" s="23">
        <f t="shared" si="104"/>
        <v>1142.8908999999974</v>
      </c>
      <c r="BG242" s="23">
        <v>-0.28128295484079296</v>
      </c>
      <c r="BH242" s="23">
        <v>0.10514687100893998</v>
      </c>
      <c r="BI242" s="23">
        <v>0.15851655629139075</v>
      </c>
      <c r="BJ242" s="23">
        <v>2.1562568708599111E-2</v>
      </c>
      <c r="BK242" s="23">
        <v>-0.33668208880556755</v>
      </c>
      <c r="BL242" s="23">
        <v>8126.2720000000008</v>
      </c>
      <c r="BM242" s="22">
        <v>6930.1286</v>
      </c>
      <c r="BN242" s="22">
        <f t="shared" si="105"/>
        <v>338.26929999999993</v>
      </c>
      <c r="BO242" s="22">
        <v>3.8407412937391046</v>
      </c>
      <c r="BP242" s="22">
        <v>0.23563038182300589</v>
      </c>
      <c r="BQ242" s="22">
        <v>3.1398416583646865E-3</v>
      </c>
      <c r="BR242" s="22">
        <v>5.6695712739377874E-3</v>
      </c>
      <c r="BS242" s="22">
        <v>7354.3498</v>
      </c>
      <c r="BT242" s="22">
        <v>3.8665442826713892</v>
      </c>
      <c r="BU242" s="22">
        <v>0.13240102171136653</v>
      </c>
      <c r="BV242" s="23">
        <v>9179.6360000000004</v>
      </c>
      <c r="BW242" s="22">
        <v>5224.0216</v>
      </c>
      <c r="BX242" s="22">
        <v>34.223379999999999</v>
      </c>
      <c r="BY242" s="22">
        <v>1.5343228995025293</v>
      </c>
      <c r="BZ242" s="25">
        <v>-8.5461123109574141E-2</v>
      </c>
      <c r="CA242" s="23">
        <v>5.8856965773153337E-2</v>
      </c>
      <c r="CB242" s="23">
        <v>5.8856965773153336</v>
      </c>
      <c r="CC242" s="23">
        <v>0.76979786935138683</v>
      </c>
      <c r="CD242" s="23">
        <v>3.7342075762805009E-2</v>
      </c>
      <c r="CE242" s="23">
        <v>5.3441576083474149E-2</v>
      </c>
      <c r="CF242" s="23">
        <v>1.4522139412538362</v>
      </c>
      <c r="CG242" s="23">
        <f t="shared" si="89"/>
        <v>0.37308924801008969</v>
      </c>
      <c r="CH242" s="26">
        <v>40</v>
      </c>
      <c r="CI242" s="26">
        <v>22.5</v>
      </c>
      <c r="CJ242" s="26">
        <v>1.6020599913279623</v>
      </c>
      <c r="CK242" s="26">
        <v>1.3521825181113625</v>
      </c>
      <c r="CL242" s="26">
        <v>0.77777777777777779</v>
      </c>
      <c r="CM242" s="27">
        <v>34.430804597701169</v>
      </c>
      <c r="CN242" s="27">
        <v>0.87699261437690179</v>
      </c>
      <c r="CO242" s="27">
        <v>14.00272</v>
      </c>
      <c r="CQ242" s="27">
        <v>141.16230769230771</v>
      </c>
      <c r="CR242" s="27">
        <v>0.81363654332700808</v>
      </c>
      <c r="CS242" s="27">
        <v>1.4151340996168575</v>
      </c>
      <c r="CT242" s="27">
        <v>0.72605363984674265</v>
      </c>
      <c r="CU242" s="27">
        <v>0.94907651715039654</v>
      </c>
      <c r="CV242" s="27">
        <v>1.549389312977099</v>
      </c>
      <c r="CW242" s="27">
        <v>2.1901605560639821</v>
      </c>
      <c r="CX242" s="36">
        <v>2.34</v>
      </c>
      <c r="CY242" s="28">
        <v>0.88</v>
      </c>
      <c r="CZ242" s="29">
        <v>33.709007630000002</v>
      </c>
      <c r="DA242" s="27">
        <v>0.71856401493398725</v>
      </c>
      <c r="DD242" s="27">
        <v>1</v>
      </c>
      <c r="DF242" s="27">
        <v>99.3</v>
      </c>
      <c r="DG242" s="28">
        <v>4.598145571051127</v>
      </c>
      <c r="DH242" s="28">
        <v>0.98917500000000003</v>
      </c>
      <c r="DI242" s="27">
        <v>1.7</v>
      </c>
      <c r="DJ242" s="27">
        <v>0.9</v>
      </c>
      <c r="DK242" s="27">
        <v>2</v>
      </c>
      <c r="DL242" s="27">
        <v>0.13386559980376234</v>
      </c>
      <c r="DM242" s="28">
        <v>1.0605</v>
      </c>
      <c r="DN242" s="28">
        <v>1.1319999999999999</v>
      </c>
      <c r="DO242" s="28">
        <v>-7.2815136374805634E-2</v>
      </c>
      <c r="DP242" s="28">
        <v>-6.3162544169611229E-2</v>
      </c>
      <c r="DQ242" s="27">
        <v>0.24049999999999994</v>
      </c>
      <c r="DR242" s="27">
        <v>5.8856965999999997E-2</v>
      </c>
      <c r="DS242" s="27">
        <v>3.7342075762805009E-2</v>
      </c>
      <c r="DT242" s="27">
        <v>5.3441576083474149E-2</v>
      </c>
      <c r="DU242" s="30">
        <v>5.7984980000000004</v>
      </c>
      <c r="DV242">
        <v>-1</v>
      </c>
      <c r="DW242">
        <v>0.7</v>
      </c>
      <c r="DX242">
        <v>98</v>
      </c>
      <c r="DY242">
        <v>95</v>
      </c>
      <c r="DZ242">
        <v>1.6</v>
      </c>
      <c r="EA242">
        <v>1.7</v>
      </c>
      <c r="EB242">
        <v>2.0603549999999999</v>
      </c>
    </row>
    <row r="243" spans="1:132" ht="18">
      <c r="A243" s="14" t="s">
        <v>172</v>
      </c>
      <c r="B243" s="14">
        <v>8</v>
      </c>
      <c r="C243" s="14" t="s">
        <v>141</v>
      </c>
      <c r="D243" s="14" t="s">
        <v>142</v>
      </c>
      <c r="E243" s="14" t="s">
        <v>170</v>
      </c>
      <c r="F243" s="15">
        <v>4874</v>
      </c>
      <c r="G243" s="15">
        <v>3.6878855248487055</v>
      </c>
      <c r="H243" s="15">
        <v>3215.0650000000001</v>
      </c>
      <c r="I243" s="15">
        <v>96.9803</v>
      </c>
      <c r="J243" s="16">
        <v>0</v>
      </c>
      <c r="K243" s="16">
        <v>1</v>
      </c>
      <c r="L243" s="17">
        <v>7.3149848379904944E-2</v>
      </c>
      <c r="M243" s="18">
        <v>140</v>
      </c>
      <c r="N243" s="18">
        <v>57</v>
      </c>
      <c r="O243" s="18">
        <v>0.96189676706046146</v>
      </c>
      <c r="P243" s="18">
        <v>3</v>
      </c>
      <c r="Q243" s="18">
        <f t="shared" si="103"/>
        <v>2.6666666666666665</v>
      </c>
      <c r="R243" s="18">
        <v>140</v>
      </c>
      <c r="S243" s="18">
        <v>5</v>
      </c>
      <c r="T243" s="19">
        <v>18073.9185</v>
      </c>
      <c r="U243" s="19">
        <v>4.257052319602284</v>
      </c>
      <c r="V243" s="20">
        <v>49840</v>
      </c>
      <c r="W243" s="20">
        <v>4.697578033651113</v>
      </c>
      <c r="X243" s="20">
        <v>0.49922871967465993</v>
      </c>
      <c r="Y243" s="20">
        <v>0.37334179909999998</v>
      </c>
      <c r="Z243" s="20">
        <f t="shared" si="86"/>
        <v>-0.42789338402966909</v>
      </c>
      <c r="AA243" s="20"/>
      <c r="AB243" s="20"/>
      <c r="AC243" s="20">
        <v>11486.9328</v>
      </c>
      <c r="AD243" s="21">
        <v>379.54880000000003</v>
      </c>
      <c r="AE243" s="21">
        <f t="shared" si="94"/>
        <v>5.6963350785340311E-3</v>
      </c>
      <c r="AF243" s="21">
        <f t="shared" si="95"/>
        <v>2.5792676226773237</v>
      </c>
      <c r="AG243" s="22">
        <v>0.11209606433104433</v>
      </c>
      <c r="AH243" s="22">
        <v>7469</v>
      </c>
      <c r="AI243" s="22">
        <v>2.1579478609999998</v>
      </c>
      <c r="AJ243" s="23">
        <v>99834</v>
      </c>
      <c r="AK243" s="23">
        <f t="shared" si="93"/>
        <v>4.9992784721260808</v>
      </c>
      <c r="AL243" s="24">
        <v>0.58519890699999999</v>
      </c>
      <c r="AM243" s="22">
        <v>38043</v>
      </c>
      <c r="AN243" s="22">
        <v>0.39833516569813099</v>
      </c>
      <c r="AO243" s="23">
        <v>0.19097747757923511</v>
      </c>
      <c r="AP243" s="33">
        <v>1.4762178000000001E-2</v>
      </c>
      <c r="AQ243" s="23">
        <v>0.169150437676723</v>
      </c>
      <c r="AR243" s="23">
        <v>66630.350000000006</v>
      </c>
      <c r="AS243" s="23">
        <v>4.8236720945628901</v>
      </c>
      <c r="AT243" s="23">
        <v>4.7446529461938676</v>
      </c>
      <c r="AU243" s="22">
        <v>0.313</v>
      </c>
      <c r="AV243" s="22">
        <v>0.1821290592</v>
      </c>
      <c r="AW243" s="22">
        <v>86.514799999999994</v>
      </c>
      <c r="AX243" s="22">
        <v>80.162199999999999</v>
      </c>
      <c r="AY243" s="22">
        <v>2</v>
      </c>
      <c r="AZ243" s="24">
        <v>30885.085899999998</v>
      </c>
      <c r="BA243" s="24">
        <f t="shared" si="87"/>
        <v>4.4897488135689407</v>
      </c>
      <c r="BB243" s="24">
        <v>8497.2883000000002</v>
      </c>
      <c r="BC243" s="24">
        <f t="shared" si="88"/>
        <v>3.9292803534507903</v>
      </c>
      <c r="BD243" s="24">
        <v>22387.797599999998</v>
      </c>
      <c r="BE243" s="23">
        <v>5898.3558000000003</v>
      </c>
      <c r="BF243" s="23">
        <f t="shared" si="104"/>
        <v>28.932800000000043</v>
      </c>
      <c r="BG243" s="23">
        <v>9.9076615178637032E-3</v>
      </c>
      <c r="BH243" s="23">
        <v>8.8523560209424076E-2</v>
      </c>
      <c r="BI243" s="23">
        <v>0.10514687100893998</v>
      </c>
      <c r="BJ243" s="23">
        <v>2.1562568708599111E-2</v>
      </c>
      <c r="BK243" s="23">
        <v>-0.1580961053810391</v>
      </c>
      <c r="BL243" s="23">
        <v>5840.4902000000002</v>
      </c>
      <c r="BM243" s="22">
        <v>8505.6607000000004</v>
      </c>
      <c r="BN243" s="22">
        <f t="shared" si="105"/>
        <v>787.76605000000109</v>
      </c>
      <c r="BO243" s="22">
        <v>3.9297080542471829</v>
      </c>
      <c r="BP243" s="22">
        <v>0.27539702261278154</v>
      </c>
      <c r="BQ243" s="22">
        <v>1.9883320394887827E-2</v>
      </c>
      <c r="BR243" s="22">
        <v>3.1398416583646865E-3</v>
      </c>
      <c r="BS243" s="22">
        <v>-9920.5962999999992</v>
      </c>
      <c r="BT243" s="22">
        <v>3.9965377771961563</v>
      </c>
      <c r="BU243" s="22">
        <v>0.14889005235602093</v>
      </c>
      <c r="BV243" s="23">
        <v>7960.7569999999996</v>
      </c>
      <c r="BW243" s="22">
        <v>10465.5</v>
      </c>
      <c r="BX243" s="22">
        <v>37.600749999999998</v>
      </c>
      <c r="BY243" s="22">
        <v>1.5751965076301324</v>
      </c>
      <c r="BZ243" s="25">
        <v>9.868604445265193E-2</v>
      </c>
      <c r="CA243" s="23">
        <v>5.3441576083474149E-2</v>
      </c>
      <c r="CB243" s="23">
        <v>5.3441576083474152</v>
      </c>
      <c r="CC243" s="23">
        <v>0.72787925774335815</v>
      </c>
      <c r="CD243" s="23">
        <v>5.8856965773153337E-2</v>
      </c>
      <c r="CE243" s="23">
        <v>5.4750936053662311E-2</v>
      </c>
      <c r="CF243" s="23">
        <v>1.4738996929375641</v>
      </c>
      <c r="CG243" s="23">
        <f t="shared" si="89"/>
        <v>0.38791174052726363</v>
      </c>
      <c r="CH243" s="26">
        <v>21.68</v>
      </c>
      <c r="CI243" s="26">
        <v>40</v>
      </c>
      <c r="CJ243" s="26">
        <v>1.3360592778663494</v>
      </c>
      <c r="CK243" s="26">
        <v>1.6020599913279623</v>
      </c>
      <c r="CL243" s="26">
        <v>-0.45800000000000002</v>
      </c>
      <c r="CM243" s="27">
        <v>32.806781609195411</v>
      </c>
      <c r="CN243" s="27">
        <v>-4.7167732717294325E-2</v>
      </c>
      <c r="CO243" s="27">
        <v>14.6873913</v>
      </c>
      <c r="CP243" s="27">
        <v>4.8895593141903844E-2</v>
      </c>
      <c r="CQ243" s="27">
        <v>128.33115384615388</v>
      </c>
      <c r="CR243" s="27">
        <v>-9.0896458522922177E-2</v>
      </c>
      <c r="CS243" s="27">
        <v>1.3546743295019157</v>
      </c>
      <c r="CT243" s="27">
        <v>1.4151340996168575</v>
      </c>
      <c r="CU243" s="27">
        <v>-4.272370380397951E-2</v>
      </c>
      <c r="CV243" s="27">
        <v>1.5608045977011498</v>
      </c>
      <c r="CW243" s="27">
        <v>2.1933485357004661</v>
      </c>
      <c r="CX243" s="36">
        <v>1.03</v>
      </c>
      <c r="CY243" s="28">
        <v>2.34</v>
      </c>
      <c r="CZ243" s="29">
        <v>33.580881230000003</v>
      </c>
      <c r="DA243" s="27">
        <v>-3.8009543741646867E-3</v>
      </c>
      <c r="DD243" s="27">
        <v>1</v>
      </c>
      <c r="DF243" s="27">
        <v>99.7</v>
      </c>
      <c r="DG243" s="28">
        <v>4.6021656769677923</v>
      </c>
      <c r="DH243" s="28">
        <v>0.99782300000000002</v>
      </c>
      <c r="DI243" s="27">
        <v>1.9</v>
      </c>
      <c r="DJ243" s="27">
        <v>1.7</v>
      </c>
      <c r="DK243" s="27">
        <v>2.6</v>
      </c>
      <c r="DL243" s="27">
        <v>5.2639944956221721E-2</v>
      </c>
      <c r="DM243" s="28">
        <v>1.0337000000000001</v>
      </c>
      <c r="DN243" s="28">
        <v>1.0605</v>
      </c>
      <c r="DO243" s="28">
        <v>-6.3162544169611229E-2</v>
      </c>
      <c r="DP243" s="28">
        <v>-2.5271098538425209E-2</v>
      </c>
      <c r="DQ243" s="27">
        <v>0.19020000000000004</v>
      </c>
      <c r="DR243" s="27">
        <v>5.3441575999999998E-2</v>
      </c>
      <c r="DS243" s="27">
        <v>5.8856965773153337E-2</v>
      </c>
      <c r="DT243" s="27">
        <v>5.4750936053662311E-2</v>
      </c>
      <c r="DU243" s="30">
        <v>9.2708490000000001</v>
      </c>
      <c r="DV243">
        <v>2.2000000000000002</v>
      </c>
      <c r="DW243">
        <v>2.6</v>
      </c>
      <c r="DX243">
        <v>98.8</v>
      </c>
      <c r="DY243">
        <v>96.9</v>
      </c>
      <c r="DZ243">
        <v>1.3</v>
      </c>
      <c r="EA243">
        <v>2.5</v>
      </c>
      <c r="EB243">
        <v>1.1868369999999999</v>
      </c>
    </row>
    <row r="244" spans="1:132" ht="18">
      <c r="A244" s="14" t="s">
        <v>172</v>
      </c>
      <c r="B244" s="14">
        <v>9</v>
      </c>
      <c r="C244" s="14" t="s">
        <v>141</v>
      </c>
      <c r="D244" s="14" t="s">
        <v>142</v>
      </c>
      <c r="E244" s="14" t="s">
        <v>170</v>
      </c>
      <c r="F244" s="15">
        <v>8814</v>
      </c>
      <c r="G244" s="15">
        <v>3.9451730461739003</v>
      </c>
      <c r="H244" s="15">
        <v>3646.1235999999999</v>
      </c>
      <c r="I244" s="15">
        <v>3018</v>
      </c>
      <c r="J244" s="16">
        <v>0</v>
      </c>
      <c r="K244" s="16">
        <v>1</v>
      </c>
      <c r="L244" s="17">
        <v>9.4743783850022342E-2</v>
      </c>
      <c r="M244" s="18">
        <v>140</v>
      </c>
      <c r="N244" s="18">
        <v>57</v>
      </c>
      <c r="O244" s="18">
        <v>0.96189676706046146</v>
      </c>
      <c r="P244" s="18">
        <v>3</v>
      </c>
      <c r="Q244" s="18">
        <f t="shared" si="103"/>
        <v>2.6666666666666665</v>
      </c>
      <c r="R244" s="18">
        <v>140</v>
      </c>
      <c r="S244" s="18">
        <v>5</v>
      </c>
      <c r="T244" s="19">
        <v>22363.38</v>
      </c>
      <c r="U244" s="19">
        <v>4.3495374434188996</v>
      </c>
      <c r="V244" s="20">
        <v>63228</v>
      </c>
      <c r="W244" s="20">
        <v>4.8009094446204132</v>
      </c>
      <c r="X244" s="20">
        <v>0.52946791940913429</v>
      </c>
      <c r="Y244" s="20">
        <v>0.38125721010000002</v>
      </c>
      <c r="Z244" s="20">
        <f t="shared" si="86"/>
        <v>-0.41878193445949186</v>
      </c>
      <c r="AA244" s="20"/>
      <c r="AB244" s="20"/>
      <c r="AC244" s="20">
        <v>12717.0975</v>
      </c>
      <c r="AD244" s="21">
        <v>9321.0930000000008</v>
      </c>
      <c r="AE244" s="21">
        <f t="shared" si="94"/>
        <v>0.10019464720194649</v>
      </c>
      <c r="AF244" s="21">
        <f t="shared" si="95"/>
        <v>3.9694668411132836</v>
      </c>
      <c r="AG244" s="22">
        <v>9.749558878145026E-2</v>
      </c>
      <c r="AH244" s="22">
        <v>9070</v>
      </c>
      <c r="AI244" s="22">
        <v>1.916323869</v>
      </c>
      <c r="AJ244" s="23">
        <v>119418</v>
      </c>
      <c r="AK244" s="23">
        <f t="shared" si="93"/>
        <v>5.0770697933887412</v>
      </c>
      <c r="AL244" s="24">
        <v>0.58549304700000004</v>
      </c>
      <c r="AM244" s="22">
        <v>53549</v>
      </c>
      <c r="AN244" s="22">
        <v>0.43423506706239157</v>
      </c>
      <c r="AO244" s="23">
        <v>0.19692240834386854</v>
      </c>
      <c r="AP244" s="33">
        <v>5.6655500000000005E-4</v>
      </c>
      <c r="AQ244" s="23">
        <v>-1.2467579233344663</v>
      </c>
      <c r="AR244" s="23">
        <v>93029.849999999991</v>
      </c>
      <c r="AS244" s="23">
        <v>4.9686223207073406</v>
      </c>
      <c r="AT244" s="23">
        <v>4.8236720945628901</v>
      </c>
      <c r="AU244" s="22">
        <v>0.39800000000000002</v>
      </c>
      <c r="AV244" s="22">
        <v>0.20547091109999999</v>
      </c>
      <c r="AW244" s="22">
        <v>100.87665</v>
      </c>
      <c r="AX244" s="22">
        <v>86.514799999999994</v>
      </c>
      <c r="AY244" s="22">
        <v>3</v>
      </c>
      <c r="AZ244" s="24">
        <v>38195.807999999997</v>
      </c>
      <c r="BA244" s="24">
        <f t="shared" si="87"/>
        <v>4.5820157015931722</v>
      </c>
      <c r="BB244" s="24">
        <v>10931.196</v>
      </c>
      <c r="BC244" s="24">
        <f t="shared" si="88"/>
        <v>4.0386676814176106</v>
      </c>
      <c r="BD244" s="24">
        <v>27264.611999999997</v>
      </c>
      <c r="BE244" s="23">
        <v>7521.6104999999998</v>
      </c>
      <c r="BF244" s="23">
        <f t="shared" si="104"/>
        <v>811.6273500000018</v>
      </c>
      <c r="BG244" s="23">
        <v>0.27520460871485564</v>
      </c>
      <c r="BH244" s="23">
        <v>8.0851581508515818E-2</v>
      </c>
      <c r="BI244" s="23">
        <v>8.8523560209424076E-2</v>
      </c>
      <c r="BJ244" s="23">
        <v>2.1562568708599111E-2</v>
      </c>
      <c r="BK244" s="23">
        <v>-8.6665952914210864E-2</v>
      </c>
      <c r="BL244" s="23">
        <v>5898.3558000000003</v>
      </c>
      <c r="BM244" s="22">
        <v>10613.5515</v>
      </c>
      <c r="BN244" s="22">
        <f t="shared" si="105"/>
        <v>1053.9453999999914</v>
      </c>
      <c r="BO244" s="22">
        <v>4.0258607315701207</v>
      </c>
      <c r="BP244" s="22">
        <v>0.27787215549936789</v>
      </c>
      <c r="BQ244" s="22">
        <v>1.2375664432931754E-3</v>
      </c>
      <c r="BR244" s="22">
        <v>1.9883320394887827E-2</v>
      </c>
      <c r="BS244" s="22">
        <v>-11887.902</v>
      </c>
      <c r="BT244" s="22">
        <v>4.0751052162487129</v>
      </c>
      <c r="BU244" s="22">
        <v>0.1277858880778589</v>
      </c>
      <c r="BV244" s="23">
        <v>8780.1165000000001</v>
      </c>
      <c r="BW244" s="22">
        <v>14335.5</v>
      </c>
      <c r="BX244" s="22">
        <v>42.800555000000003</v>
      </c>
      <c r="BY244" s="22">
        <v>1.6314494005990294</v>
      </c>
      <c r="BZ244" s="25">
        <v>0.13828992772750556</v>
      </c>
      <c r="CA244" s="23">
        <v>5.4750936053662311E-2</v>
      </c>
      <c r="CB244" s="23">
        <v>5.4750936053662311</v>
      </c>
      <c r="CC244" s="23">
        <v>0.73839154852521915</v>
      </c>
      <c r="CD244" s="23">
        <v>5.3441576083474149E-2</v>
      </c>
      <c r="CE244" s="23">
        <v>5.3458259584010771E-2</v>
      </c>
      <c r="CF244" s="23">
        <v>1.2031872509960158</v>
      </c>
      <c r="CG244" s="23">
        <f t="shared" si="89"/>
        <v>0.18497407824308559</v>
      </c>
      <c r="CH244" s="26">
        <v>17.75</v>
      </c>
      <c r="CI244" s="26">
        <v>21.68</v>
      </c>
      <c r="CJ244" s="26">
        <v>1.249198357391113</v>
      </c>
      <c r="CK244" s="26">
        <v>1.3360592778663494</v>
      </c>
      <c r="CL244" s="26">
        <v>-0.18127306273062729</v>
      </c>
      <c r="CM244" s="27">
        <v>23.674061302682002</v>
      </c>
      <c r="CN244" s="27">
        <v>-0.27837903806917774</v>
      </c>
      <c r="CO244" s="27">
        <v>13.17284585</v>
      </c>
      <c r="CP244" s="27">
        <v>-0.10311875125162628</v>
      </c>
      <c r="CQ244" s="27">
        <v>93.814615384615436</v>
      </c>
      <c r="CR244" s="27">
        <v>-0.26896460779054171</v>
      </c>
      <c r="CS244" s="27">
        <v>1.0575095785440605</v>
      </c>
      <c r="CT244" s="27">
        <v>1.3546743295019157</v>
      </c>
      <c r="CU244" s="27">
        <v>-0.21936250247475808</v>
      </c>
      <c r="CV244" s="27">
        <v>1.2699233716475098</v>
      </c>
      <c r="CW244" s="27">
        <v>2.1037775160152683</v>
      </c>
      <c r="CX244" s="36">
        <v>0.92</v>
      </c>
      <c r="CY244" s="28">
        <v>1.03</v>
      </c>
      <c r="CZ244" s="29">
        <v>26.404674329999999</v>
      </c>
      <c r="DA244" s="27">
        <v>-0.21369918349816944</v>
      </c>
      <c r="DD244" s="27">
        <v>1</v>
      </c>
      <c r="DF244" s="27">
        <v>100</v>
      </c>
      <c r="DG244" s="28">
        <v>4.6051701859880918</v>
      </c>
      <c r="DH244" s="28">
        <v>1</v>
      </c>
      <c r="DI244" s="27">
        <v>1.7</v>
      </c>
      <c r="DJ244" s="27">
        <v>1.4</v>
      </c>
      <c r="DK244" s="27">
        <v>2.5</v>
      </c>
      <c r="DL244" s="27">
        <v>5.6333518516911207E-2</v>
      </c>
      <c r="DM244" s="28">
        <v>0.93169999999999997</v>
      </c>
      <c r="DN244" s="28">
        <v>1.0337000000000001</v>
      </c>
      <c r="DO244" s="28">
        <v>-2.5271098538425209E-2</v>
      </c>
      <c r="DP244" s="28">
        <v>-9.8674663828964004E-2</v>
      </c>
      <c r="DQ244" s="27">
        <v>0.22999999999999998</v>
      </c>
      <c r="DR244" s="27">
        <v>5.4750936E-2</v>
      </c>
      <c r="DS244" s="27">
        <v>5.3441576083474149E-2</v>
      </c>
      <c r="DT244" s="27">
        <v>5.3458259584010771E-2</v>
      </c>
      <c r="DU244" s="30">
        <v>9.6228090000000002</v>
      </c>
      <c r="DV244">
        <v>2.7</v>
      </c>
      <c r="DW244">
        <v>2.9</v>
      </c>
      <c r="DX244">
        <v>100</v>
      </c>
      <c r="DY244">
        <v>100</v>
      </c>
      <c r="DZ244">
        <v>0.2</v>
      </c>
      <c r="EA244">
        <v>2</v>
      </c>
      <c r="EB244">
        <v>1.2855829999999999</v>
      </c>
    </row>
    <row r="245" spans="1:132" ht="18">
      <c r="A245" s="14" t="s">
        <v>172</v>
      </c>
      <c r="B245" s="14">
        <v>10</v>
      </c>
      <c r="C245" s="14" t="s">
        <v>141</v>
      </c>
      <c r="D245" s="14" t="s">
        <v>142</v>
      </c>
      <c r="E245" s="14" t="s">
        <v>170</v>
      </c>
      <c r="F245" s="15">
        <v>8557</v>
      </c>
      <c r="G245" s="15">
        <v>3.932321531989293</v>
      </c>
      <c r="H245" s="15">
        <v>5450.8008</v>
      </c>
      <c r="I245" s="15">
        <v>1517.3422</v>
      </c>
      <c r="J245" s="16">
        <v>0</v>
      </c>
      <c r="K245" s="16">
        <v>1</v>
      </c>
      <c r="L245" s="17">
        <v>0.10083845460384051</v>
      </c>
      <c r="M245" s="18">
        <v>140</v>
      </c>
      <c r="N245" s="18">
        <v>57</v>
      </c>
      <c r="O245" s="18">
        <v>0.96189676706046146</v>
      </c>
      <c r="P245" s="18">
        <v>3</v>
      </c>
      <c r="Q245" s="18">
        <f t="shared" si="103"/>
        <v>2.6666666666666665</v>
      </c>
      <c r="R245" s="18">
        <v>140</v>
      </c>
      <c r="S245" s="18">
        <v>5</v>
      </c>
      <c r="T245" s="19">
        <v>26764.0098</v>
      </c>
      <c r="U245" s="19">
        <v>4.4275511802301528</v>
      </c>
      <c r="V245" s="20">
        <v>66133</v>
      </c>
      <c r="W245" s="20">
        <v>4.820418224108697</v>
      </c>
      <c r="X245" s="20">
        <v>0.53468460456316802</v>
      </c>
      <c r="Y245" s="20">
        <v>0.40691264030000002</v>
      </c>
      <c r="Z245" s="20">
        <f t="shared" si="86"/>
        <v>-0.39049881904994821</v>
      </c>
      <c r="AA245" s="20"/>
      <c r="AB245" s="20"/>
      <c r="AC245" s="20">
        <v>25320.331999999999</v>
      </c>
      <c r="AD245" s="21">
        <v>9093.2201999999997</v>
      </c>
      <c r="AE245" s="21">
        <f t="shared" si="94"/>
        <v>0.10715744680851064</v>
      </c>
      <c r="AF245" s="21">
        <f t="shared" si="95"/>
        <v>3.9587177080219602</v>
      </c>
      <c r="AG245" s="22">
        <v>0.11292917032471703</v>
      </c>
      <c r="AH245" s="22">
        <v>9583</v>
      </c>
      <c r="AI245" s="22">
        <v>2.0852289960000001</v>
      </c>
      <c r="AJ245" s="23">
        <v>123686</v>
      </c>
      <c r="AK245" s="23">
        <f t="shared" si="93"/>
        <v>5.0923205446829787</v>
      </c>
      <c r="AL245" s="24">
        <v>0.63277328099999997</v>
      </c>
      <c r="AM245" s="22">
        <v>51556</v>
      </c>
      <c r="AN245" s="22">
        <v>0.43878940559678625</v>
      </c>
      <c r="AO245" s="23">
        <v>0.15785609397944197</v>
      </c>
      <c r="AP245" s="33">
        <v>2.2544279E-2</v>
      </c>
      <c r="AQ245" s="23">
        <v>0.35303635047299414</v>
      </c>
      <c r="AR245" s="23">
        <v>84858.5</v>
      </c>
      <c r="AS245" s="23">
        <v>4.9286953506985629</v>
      </c>
      <c r="AT245" s="23">
        <v>4.9686223207073406</v>
      </c>
      <c r="AU245" s="22">
        <v>0.38300000000000001</v>
      </c>
      <c r="AV245" s="22">
        <v>0.22123809520000001</v>
      </c>
      <c r="AW245" s="22">
        <v>99.302499999999995</v>
      </c>
      <c r="AX245" s="22">
        <v>100.87665</v>
      </c>
      <c r="AY245" s="22">
        <v>2</v>
      </c>
      <c r="AZ245" s="24">
        <v>42296.3652</v>
      </c>
      <c r="BA245" s="24">
        <f t="shared" si="87"/>
        <v>4.6263030472471609</v>
      </c>
      <c r="BB245" s="24">
        <v>13709.5226</v>
      </c>
      <c r="BC245" s="24">
        <f t="shared" si="88"/>
        <v>4.1370223318284962</v>
      </c>
      <c r="BD245" s="24">
        <v>28586.8426</v>
      </c>
      <c r="BE245" s="23">
        <v>6676.7389999999996</v>
      </c>
      <c r="BF245" s="23">
        <f t="shared" si="104"/>
        <v>422.4357500000001</v>
      </c>
      <c r="BG245" s="23">
        <v>-0.11232587754976148</v>
      </c>
      <c r="BH245" s="23">
        <v>7.8680851063829785E-2</v>
      </c>
      <c r="BI245" s="23">
        <v>8.0851581508515818E-2</v>
      </c>
      <c r="BJ245" s="23">
        <v>2.1562568708599111E-2</v>
      </c>
      <c r="BK245" s="23">
        <v>-2.6848336225277155E-2</v>
      </c>
      <c r="BL245" s="23">
        <v>7521.6104999999998</v>
      </c>
      <c r="BM245" s="22">
        <v>10333.959800000001</v>
      </c>
      <c r="BN245" s="22">
        <f t="shared" si="105"/>
        <v>139.79584999999952</v>
      </c>
      <c r="BO245" s="22">
        <v>4.0142667677697235</v>
      </c>
      <c r="BP245" s="22">
        <v>0.24432264453778643</v>
      </c>
      <c r="BQ245" s="22">
        <v>1.6774755480790729E-2</v>
      </c>
      <c r="BR245" s="22">
        <v>1.2375664432931754E-3</v>
      </c>
      <c r="BS245" s="22">
        <v>-571.98239999999998</v>
      </c>
      <c r="BT245" s="22">
        <v>2.7573826656803013</v>
      </c>
      <c r="BU245" s="22">
        <v>6.7404255319148936E-3</v>
      </c>
      <c r="BV245" s="23">
        <v>11422.315199999999</v>
      </c>
      <c r="BW245" s="22">
        <v>14588.44</v>
      </c>
      <c r="BX245" s="22">
        <v>43.727910000000001</v>
      </c>
      <c r="BY245" s="22">
        <v>1.6407587204923928</v>
      </c>
      <c r="BZ245" s="25">
        <v>2.1666891936331166E-2</v>
      </c>
      <c r="CA245" s="23">
        <v>5.3458259584010771E-2</v>
      </c>
      <c r="CB245" s="23">
        <v>5.3458259584010772</v>
      </c>
      <c r="CC245" s="23">
        <v>0.72801481552481728</v>
      </c>
      <c r="CD245" s="23">
        <v>5.4750936053662311E-2</v>
      </c>
      <c r="CE245" s="23">
        <v>2.2775358880871514E-2</v>
      </c>
      <c r="CF245" s="23">
        <v>1.4443587766640968</v>
      </c>
      <c r="CG245" s="23">
        <f t="shared" si="89"/>
        <v>0.36766546990318333</v>
      </c>
      <c r="CH245" s="26">
        <v>23.4</v>
      </c>
      <c r="CI245" s="26">
        <v>17.75</v>
      </c>
      <c r="CJ245" s="26">
        <v>1.3692158574101427</v>
      </c>
      <c r="CK245" s="26">
        <v>1.249198357391113</v>
      </c>
      <c r="CL245" s="26">
        <v>0.31830985915492949</v>
      </c>
      <c r="CM245" s="27">
        <v>25.275999999999993</v>
      </c>
      <c r="CN245" s="27">
        <v>6.7666408261623831E-2</v>
      </c>
      <c r="CO245" s="27">
        <v>14.39393443</v>
      </c>
      <c r="CP245" s="27">
        <v>9.2697401450272041E-2</v>
      </c>
      <c r="CQ245" s="27">
        <v>94.493822393822356</v>
      </c>
      <c r="CR245" s="27">
        <v>7.2398848134946573E-3</v>
      </c>
      <c r="CS245" s="27">
        <v>1.0720384615384604</v>
      </c>
      <c r="CT245" s="27">
        <v>1.0575095785440605</v>
      </c>
      <c r="CU245" s="27">
        <v>1.37387720065881E-2</v>
      </c>
      <c r="CV245" s="27">
        <v>1.268846153846154</v>
      </c>
      <c r="CW245" s="27">
        <v>2.1034089675745258</v>
      </c>
      <c r="CX245" s="36">
        <v>0.92</v>
      </c>
      <c r="CY245" s="28">
        <v>0.92</v>
      </c>
      <c r="CZ245" s="29">
        <v>29.99596154</v>
      </c>
      <c r="DA245" s="27">
        <v>0.13600952487112158</v>
      </c>
      <c r="DD245" s="27">
        <v>1</v>
      </c>
      <c r="DF245" s="27">
        <v>100.2</v>
      </c>
      <c r="DG245" s="28">
        <v>4.6071681886507641</v>
      </c>
      <c r="DH245" s="28">
        <v>0.998919</v>
      </c>
      <c r="DI245" s="27">
        <v>1.7</v>
      </c>
      <c r="DK245" s="27">
        <v>2.7</v>
      </c>
      <c r="DL245" s="27">
        <v>7.6034318820263902E-2</v>
      </c>
      <c r="DM245" s="28">
        <v>0.93479999999999996</v>
      </c>
      <c r="DN245" s="28">
        <v>0.93169999999999997</v>
      </c>
      <c r="DO245" s="28">
        <v>-9.8674663828964004E-2</v>
      </c>
      <c r="DP245" s="28">
        <v>3.3272512611355496E-3</v>
      </c>
      <c r="DQ245" s="27">
        <v>0.24680000000000002</v>
      </c>
      <c r="DR245" s="27">
        <v>5.3458260000000001E-2</v>
      </c>
      <c r="DS245" s="27">
        <v>5.4750936053662311E-2</v>
      </c>
      <c r="DT245" s="27">
        <v>2.2775358880871514E-2</v>
      </c>
      <c r="DU245" s="30">
        <v>8.9420310000000001</v>
      </c>
      <c r="DV245">
        <v>2.2000000000000002</v>
      </c>
      <c r="DW245">
        <v>2.4</v>
      </c>
      <c r="DX245">
        <v>102.1</v>
      </c>
      <c r="DY245">
        <v>102.1</v>
      </c>
      <c r="DZ245">
        <v>0.9</v>
      </c>
      <c r="EA245">
        <v>0.7</v>
      </c>
      <c r="EB245">
        <v>1.494866</v>
      </c>
    </row>
    <row r="246" spans="1:132" ht="18">
      <c r="A246" s="14" t="s">
        <v>172</v>
      </c>
      <c r="B246" s="14">
        <v>11</v>
      </c>
      <c r="C246" s="14" t="s">
        <v>141</v>
      </c>
      <c r="D246" s="14" t="s">
        <v>142</v>
      </c>
      <c r="E246" s="14" t="s">
        <v>170</v>
      </c>
      <c r="F246" s="15">
        <v>13161</v>
      </c>
      <c r="G246" s="15">
        <v>4.1192888891246078</v>
      </c>
      <c r="H246" s="15">
        <v>7707.9093000000003</v>
      </c>
      <c r="I246" s="15">
        <v>2000.1859999999999</v>
      </c>
      <c r="J246" s="16">
        <v>0</v>
      </c>
      <c r="K246" s="16">
        <v>1</v>
      </c>
      <c r="L246" s="17">
        <v>0.14007426777908691</v>
      </c>
      <c r="M246" s="18">
        <v>140</v>
      </c>
      <c r="N246" s="18">
        <v>57</v>
      </c>
      <c r="O246" s="18">
        <v>0.96189676706046146</v>
      </c>
      <c r="P246" s="18">
        <v>3</v>
      </c>
      <c r="Q246" s="18">
        <f t="shared" si="103"/>
        <v>2.6666666666666665</v>
      </c>
      <c r="R246" s="18">
        <v>140</v>
      </c>
      <c r="S246" s="18">
        <v>5</v>
      </c>
      <c r="T246" s="19">
        <v>27964.022499999999</v>
      </c>
      <c r="U246" s="19">
        <v>4.4465996428927417</v>
      </c>
      <c r="V246" s="20">
        <v>68296</v>
      </c>
      <c r="W246" s="20">
        <v>4.8343952684136164</v>
      </c>
      <c r="X246" s="20">
        <v>0.53471548025429838</v>
      </c>
      <c r="Y246" s="20">
        <v>0.42011467889999998</v>
      </c>
      <c r="Z246" s="20">
        <f t="shared" si="86"/>
        <v>-0.37663214385144445</v>
      </c>
      <c r="AA246" s="20"/>
      <c r="AB246" s="20"/>
      <c r="AC246" s="20">
        <v>27713.620999999999</v>
      </c>
      <c r="AD246" s="21">
        <v>10399.6055</v>
      </c>
      <c r="AE246" s="21">
        <f t="shared" si="94"/>
        <v>0.11068438003220613</v>
      </c>
      <c r="AF246" s="21">
        <f t="shared" si="95"/>
        <v>4.0170168650273688</v>
      </c>
      <c r="AG246" s="22">
        <v>9.9321713161191316E-2</v>
      </c>
      <c r="AH246" s="22">
        <v>9332</v>
      </c>
      <c r="AI246" s="22">
        <v>2.1959288629999998</v>
      </c>
      <c r="AJ246" s="23">
        <v>127724</v>
      </c>
      <c r="AK246" s="23">
        <f t="shared" si="93"/>
        <v>5.1062725111101672</v>
      </c>
      <c r="AL246" s="24">
        <v>0.65225063100000003</v>
      </c>
      <c r="AM246" s="22">
        <v>54997</v>
      </c>
      <c r="AN246" s="22">
        <v>0.44275294648032459</v>
      </c>
      <c r="AO246" s="23">
        <v>0.16556384874631658</v>
      </c>
      <c r="AP246" s="33">
        <v>1.6723691999999998E-2</v>
      </c>
      <c r="AQ246" s="23">
        <v>0.22333216055667346</v>
      </c>
      <c r="AR246" s="23">
        <v>93957.299999999988</v>
      </c>
      <c r="AS246" s="23">
        <v>4.9729305281997664</v>
      </c>
      <c r="AT246" s="23">
        <v>4.9286953506985629</v>
      </c>
      <c r="AU246" s="22">
        <v>0.36599999999999999</v>
      </c>
      <c r="AV246" s="22">
        <v>0.2153028793</v>
      </c>
      <c r="AW246" s="22">
        <v>114.988</v>
      </c>
      <c r="AX246" s="22">
        <v>99.302499999999995</v>
      </c>
      <c r="AY246" s="22">
        <v>3</v>
      </c>
      <c r="AZ246" s="24">
        <v>42873.124499999998</v>
      </c>
      <c r="BA246" s="24">
        <f t="shared" si="87"/>
        <v>4.6321851351005936</v>
      </c>
      <c r="BB246" s="24">
        <v>12002.629000000001</v>
      </c>
      <c r="BC246" s="24">
        <f t="shared" si="88"/>
        <v>4.0792763823093647</v>
      </c>
      <c r="BD246" s="24">
        <v>30870.495499999997</v>
      </c>
      <c r="BE246" s="23">
        <v>7098.2394999999997</v>
      </c>
      <c r="BF246" s="23">
        <f t="shared" si="104"/>
        <v>210.75025000000005</v>
      </c>
      <c r="BG246" s="23">
        <v>6.3129695499554522E-2</v>
      </c>
      <c r="BH246" s="23">
        <v>7.5547504025764906E-2</v>
      </c>
      <c r="BI246" s="23">
        <v>7.8680851063829785E-2</v>
      </c>
      <c r="BJ246" s="23">
        <v>2.1562568708599111E-2</v>
      </c>
      <c r="BK246" s="23">
        <v>-3.9823502106287004E-2</v>
      </c>
      <c r="BL246" s="23">
        <v>6676.7389999999996</v>
      </c>
      <c r="BM246" s="22">
        <v>10737.761</v>
      </c>
      <c r="BN246" s="22">
        <f t="shared" si="105"/>
        <v>201.90059999999994</v>
      </c>
      <c r="BO246" s="22">
        <v>4.0309137332520732</v>
      </c>
      <c r="BP246" s="22">
        <v>0.25045436098318424</v>
      </c>
      <c r="BQ246" s="22">
        <v>3.0658582226989056E-3</v>
      </c>
      <c r="BR246" s="22">
        <v>1.6774755480790729E-2</v>
      </c>
      <c r="BS246" s="22">
        <v>-4293.1374999999998</v>
      </c>
      <c r="BT246" s="22">
        <v>3.6327747982243657</v>
      </c>
      <c r="BU246" s="22">
        <v>4.5692431561996781E-2</v>
      </c>
      <c r="BV246" s="23">
        <v>9342.7749999999996</v>
      </c>
      <c r="BW246" s="22">
        <v>14903.05</v>
      </c>
      <c r="BX246" s="22">
        <v>47.54562</v>
      </c>
      <c r="BY246" s="22">
        <v>1.677110515018001</v>
      </c>
      <c r="BZ246" s="25">
        <v>8.7306024916352004E-2</v>
      </c>
      <c r="CA246" s="23">
        <v>2.2775358880871514E-2</v>
      </c>
      <c r="CB246" s="23">
        <v>2.2775358880871512</v>
      </c>
      <c r="CC246" s="23">
        <v>0.3574652290590502</v>
      </c>
      <c r="CD246" s="23">
        <v>5.3458259584010771E-2</v>
      </c>
      <c r="CE246" s="23">
        <v>1.9843653201058572E-2</v>
      </c>
      <c r="CF246" s="23">
        <v>1.2311037481880307</v>
      </c>
      <c r="CG246" s="23">
        <f t="shared" si="89"/>
        <v>0.20791112325134034</v>
      </c>
      <c r="CH246" s="26">
        <v>18.02</v>
      </c>
      <c r="CI246" s="26">
        <v>23.4</v>
      </c>
      <c r="CJ246" s="26">
        <v>1.2557547866430441</v>
      </c>
      <c r="CK246" s="26">
        <v>1.3692158574101427</v>
      </c>
      <c r="CL246" s="26">
        <v>-0.22991452991452987</v>
      </c>
      <c r="CM246" s="27">
        <v>18.608429118773955</v>
      </c>
      <c r="CN246" s="27">
        <v>-0.26379058716672099</v>
      </c>
      <c r="CO246" s="27">
        <v>10.24478261</v>
      </c>
      <c r="CP246" s="27">
        <v>-0.288256962693417</v>
      </c>
      <c r="CQ246" s="27">
        <v>71.254230769230816</v>
      </c>
      <c r="CR246" s="27">
        <v>-0.24593768180670883</v>
      </c>
      <c r="CS246" s="27">
        <v>0.83494252873563157</v>
      </c>
      <c r="CT246" s="27">
        <v>1.0720384615384604</v>
      </c>
      <c r="CU246" s="27">
        <v>-0.22116364413136569</v>
      </c>
      <c r="CV246" s="27">
        <v>0.95088122605364045</v>
      </c>
      <c r="CW246" s="27">
        <v>1.9781262728880398</v>
      </c>
      <c r="CX246" s="36">
        <v>0.54</v>
      </c>
      <c r="CY246" s="28">
        <v>0.92</v>
      </c>
      <c r="CZ246" s="29">
        <v>24.56237548</v>
      </c>
      <c r="DA246" s="27">
        <v>-0.18114392008251654</v>
      </c>
      <c r="DD246" s="27">
        <v>1</v>
      </c>
      <c r="DF246" s="27">
        <v>100.1</v>
      </c>
      <c r="DG246" s="28">
        <v>4.6061696863211745</v>
      </c>
      <c r="DH246" s="28">
        <v>0.98895100000000002</v>
      </c>
      <c r="DI246" s="27">
        <v>1.6</v>
      </c>
      <c r="DK246" s="27">
        <v>1.9</v>
      </c>
      <c r="DL246" s="27">
        <v>2.8981124147912794E-2</v>
      </c>
      <c r="DM246" s="28">
        <v>0.9153</v>
      </c>
      <c r="DN246" s="28">
        <v>0.93479999999999996</v>
      </c>
      <c r="DO246" s="28">
        <v>3.3272512611355496E-3</v>
      </c>
      <c r="DP246" s="28">
        <v>-2.0860077021822809E-2</v>
      </c>
      <c r="DQ246" s="27">
        <v>9.8500000000000032E-2</v>
      </c>
      <c r="DR246" s="27">
        <v>2.2775358999999998E-2</v>
      </c>
      <c r="DS246" s="27">
        <v>5.3458259584010771E-2</v>
      </c>
      <c r="DT246" s="27">
        <v>1.9843653201058572E-2</v>
      </c>
      <c r="DU246" s="30">
        <v>8.0652849999999994</v>
      </c>
      <c r="DV246">
        <v>0.9</v>
      </c>
      <c r="DW246">
        <v>1.4</v>
      </c>
      <c r="DX246">
        <v>103.9</v>
      </c>
      <c r="DY246">
        <v>103.8</v>
      </c>
      <c r="DZ246">
        <v>0.1</v>
      </c>
      <c r="EA246">
        <v>0</v>
      </c>
      <c r="EB246">
        <v>1.826854</v>
      </c>
    </row>
    <row r="247" spans="1:132" ht="18">
      <c r="A247" s="14" t="s">
        <v>172</v>
      </c>
      <c r="B247" s="14">
        <v>12</v>
      </c>
      <c r="C247" s="14" t="s">
        <v>141</v>
      </c>
      <c r="D247" s="14" t="s">
        <v>142</v>
      </c>
      <c r="E247" s="14" t="s">
        <v>170</v>
      </c>
      <c r="F247" s="15">
        <v>12564</v>
      </c>
      <c r="G247" s="15">
        <v>4.0991279277264674</v>
      </c>
      <c r="H247" s="15">
        <v>8073.1067999999996</v>
      </c>
      <c r="I247" s="15">
        <v>1770.9819</v>
      </c>
      <c r="J247" s="16">
        <v>0</v>
      </c>
      <c r="K247" s="16">
        <v>1</v>
      </c>
      <c r="L247" s="17">
        <v>0.13637615290466476</v>
      </c>
      <c r="M247" s="18">
        <v>140</v>
      </c>
      <c r="N247" s="18">
        <v>57</v>
      </c>
      <c r="O247" s="18">
        <v>0.96189676706046146</v>
      </c>
      <c r="P247" s="18">
        <v>3</v>
      </c>
      <c r="Q247" s="18">
        <f t="shared" si="103"/>
        <v>2.6666666666666665</v>
      </c>
      <c r="R247" s="18">
        <v>140</v>
      </c>
      <c r="S247" s="18">
        <v>5</v>
      </c>
      <c r="T247" s="19">
        <v>24407.0056</v>
      </c>
      <c r="U247" s="19">
        <v>4.3875145007950254</v>
      </c>
      <c r="V247" s="20">
        <v>73081</v>
      </c>
      <c r="W247" s="20">
        <v>4.863804481366742</v>
      </c>
      <c r="X247" s="20">
        <v>0.53856414337931846</v>
      </c>
      <c r="Y247" s="20">
        <v>0.4138070901</v>
      </c>
      <c r="Z247" s="20">
        <f t="shared" si="86"/>
        <v>-0.38320207247906424</v>
      </c>
      <c r="AA247" s="20"/>
      <c r="AB247" s="20"/>
      <c r="AC247" s="20">
        <v>26055.3979</v>
      </c>
      <c r="AD247" s="21">
        <v>8530.9226999999992</v>
      </c>
      <c r="AE247" s="21">
        <f t="shared" si="94"/>
        <v>9.2599046366847779E-2</v>
      </c>
      <c r="AF247" s="21">
        <f t="shared" si="95"/>
        <v>3.93099600676502</v>
      </c>
      <c r="AG247" s="22">
        <v>9.8461324657610164E-2</v>
      </c>
      <c r="AH247" s="22">
        <v>9071</v>
      </c>
      <c r="AI247" s="22">
        <v>2.6050059079999999</v>
      </c>
      <c r="AJ247" s="23">
        <v>135696</v>
      </c>
      <c r="AK247" s="23">
        <f t="shared" si="93"/>
        <v>5.1325670458651071</v>
      </c>
      <c r="AL247" s="24">
        <v>0.64211940899999997</v>
      </c>
      <c r="AM247" s="22">
        <v>51782</v>
      </c>
      <c r="AN247" s="22">
        <v>0.41014146086460629</v>
      </c>
      <c r="AO247" s="23">
        <v>0.17838356690343637</v>
      </c>
      <c r="AP247" s="33">
        <v>7.2558978999999996E-2</v>
      </c>
      <c r="AQ247" s="23">
        <v>0.86069116300207027</v>
      </c>
      <c r="AR247" s="23">
        <v>92127.543799999999</v>
      </c>
      <c r="AS247" s="23">
        <v>4.9643894926505627</v>
      </c>
      <c r="AT247" s="23">
        <v>4.9729305281997664</v>
      </c>
      <c r="AU247" s="22">
        <v>0.32400000000000001</v>
      </c>
      <c r="AV247" s="22">
        <v>0.17553678559999999</v>
      </c>
      <c r="AW247" s="24">
        <v>141.56180000000001</v>
      </c>
      <c r="AX247" s="22">
        <v>114.988</v>
      </c>
      <c r="AY247" s="24">
        <v>3</v>
      </c>
      <c r="AZ247" s="24">
        <v>38010.072999999997</v>
      </c>
      <c r="BA247" s="24">
        <f t="shared" si="87"/>
        <v>4.5798987036853642</v>
      </c>
      <c r="BB247" s="24">
        <v>12097.6963</v>
      </c>
      <c r="BC247" s="24">
        <f t="shared" si="88"/>
        <v>4.0827026777998912</v>
      </c>
      <c r="BD247" s="24">
        <v>25912.376699999997</v>
      </c>
      <c r="BE247" s="23">
        <v>6780.3724000000002</v>
      </c>
      <c r="BF247" s="23">
        <f t="shared" si="104"/>
        <v>158.93354999999974</v>
      </c>
      <c r="BG247" s="23">
        <v>-4.4781117909588636E-2</v>
      </c>
      <c r="BH247" s="23">
        <v>7.3597668192690924E-2</v>
      </c>
      <c r="BI247" s="23">
        <v>7.5547504025764906E-2</v>
      </c>
      <c r="BJ247" s="23">
        <v>2.1562568708599111E-2</v>
      </c>
      <c r="BK247" s="23">
        <v>-2.5809401094296972E-2</v>
      </c>
      <c r="BL247" s="23">
        <v>7098.2394999999997</v>
      </c>
      <c r="BM247" s="22">
        <v>9613.0678000000007</v>
      </c>
      <c r="BN247" s="22">
        <f t="shared" si="105"/>
        <v>562.34659999999985</v>
      </c>
      <c r="BO247" s="22">
        <v>3.9828620053581623</v>
      </c>
      <c r="BP247" s="22">
        <v>0.25290842772125172</v>
      </c>
      <c r="BQ247" s="22">
        <v>1.2270333690337365E-3</v>
      </c>
      <c r="BR247" s="22">
        <v>3.0658582226989056E-3</v>
      </c>
      <c r="BS247" s="22">
        <v>-2445.9544000000001</v>
      </c>
      <c r="BT247" s="22">
        <v>3.3884483562109065</v>
      </c>
      <c r="BU247" s="22">
        <v>2.6549653872352561E-2</v>
      </c>
      <c r="BV247" s="23">
        <v>8844.6936999999998</v>
      </c>
      <c r="BW247" s="22">
        <v>13072.575500000001</v>
      </c>
      <c r="BX247" s="22">
        <v>58.113439999999997</v>
      </c>
      <c r="BY247" s="22">
        <v>1.7642765840741084</v>
      </c>
      <c r="BZ247" s="25">
        <v>0.22226695119340115</v>
      </c>
      <c r="CA247" s="23">
        <v>1.9843653201058572E-2</v>
      </c>
      <c r="CB247" s="23">
        <v>1.9843653201058571</v>
      </c>
      <c r="CC247" s="23">
        <v>0.29762162845371243</v>
      </c>
      <c r="CD247" s="23">
        <v>2.2775358880871514E-2</v>
      </c>
      <c r="CE247" s="23">
        <v>3.2641408938449919E-2</v>
      </c>
      <c r="CF247" s="23">
        <v>1.2724935732647815</v>
      </c>
      <c r="CG247" s="23">
        <f t="shared" si="89"/>
        <v>0.24097841895024402</v>
      </c>
      <c r="CH247" s="26">
        <v>13.72</v>
      </c>
      <c r="CI247" s="26">
        <v>18.02</v>
      </c>
      <c r="CJ247" s="26">
        <v>1.1373541113707328</v>
      </c>
      <c r="CK247" s="26">
        <v>1.2557547866430441</v>
      </c>
      <c r="CL247" s="26">
        <v>-0.23862375138734734</v>
      </c>
      <c r="CM247" s="27">
        <v>14.834099616858232</v>
      </c>
      <c r="CN247" s="27">
        <v>-0.20282902322516949</v>
      </c>
      <c r="CO247" s="27">
        <v>8.3248809519999991</v>
      </c>
      <c r="CP247" s="27">
        <v>-0.18740286944946707</v>
      </c>
      <c r="CQ247" s="27">
        <v>73.031538461538446</v>
      </c>
      <c r="CR247" s="27">
        <v>2.494318825872599E-2</v>
      </c>
      <c r="CS247" s="27">
        <v>0.8023754789272034</v>
      </c>
      <c r="CT247" s="27">
        <v>0.83494252873563157</v>
      </c>
      <c r="CU247" s="27">
        <v>-3.9005139500733109E-2</v>
      </c>
      <c r="CV247" s="27">
        <v>0.96896551724137914</v>
      </c>
      <c r="CW247" s="27">
        <v>1.9863083220061237</v>
      </c>
      <c r="CX247" s="36">
        <v>0.62</v>
      </c>
      <c r="CY247" s="28">
        <v>0.54</v>
      </c>
      <c r="CZ247" s="29">
        <v>18.565019159999999</v>
      </c>
      <c r="DA247" s="27">
        <v>-0.24416841623821645</v>
      </c>
      <c r="DD247" s="27">
        <v>1</v>
      </c>
      <c r="DF247" s="27">
        <v>99.9</v>
      </c>
      <c r="DG247" s="28">
        <v>4.604169685654508</v>
      </c>
      <c r="DH247" s="28">
        <v>0.986572</v>
      </c>
      <c r="DI247" s="27">
        <v>1.6</v>
      </c>
      <c r="DK247" s="27">
        <v>1.3</v>
      </c>
      <c r="DL247" s="27">
        <v>1.9432302171109177E-2</v>
      </c>
      <c r="DM247" s="28">
        <v>0.88919999999999999</v>
      </c>
      <c r="DN247" s="28">
        <v>0.9153</v>
      </c>
      <c r="DO247" s="28">
        <v>-2.0860077021822809E-2</v>
      </c>
      <c r="DP247" s="28">
        <v>-2.8515240904621448E-2</v>
      </c>
      <c r="DQ247" s="27">
        <v>9.3600000000000017E-2</v>
      </c>
      <c r="DR247" s="27">
        <v>1.9843652999999999E-2</v>
      </c>
      <c r="DS247" s="27">
        <v>2.2775358880871514E-2</v>
      </c>
      <c r="DT247" s="27">
        <v>3.2641408938449919E-2</v>
      </c>
      <c r="DU247" s="30">
        <v>7.3719619999999999</v>
      </c>
      <c r="DV247">
        <v>1.5</v>
      </c>
      <c r="DW247">
        <v>2.1</v>
      </c>
      <c r="DX247">
        <v>105.4</v>
      </c>
      <c r="DY247">
        <v>105.7</v>
      </c>
      <c r="DZ247">
        <v>0.2</v>
      </c>
      <c r="EA247">
        <v>0.8</v>
      </c>
      <c r="EB247">
        <v>1.343728</v>
      </c>
    </row>
    <row r="248" spans="1:132" ht="18">
      <c r="A248" s="14" t="s">
        <v>172</v>
      </c>
      <c r="B248" s="14">
        <v>13</v>
      </c>
      <c r="C248" s="14" t="s">
        <v>141</v>
      </c>
      <c r="D248" s="14" t="s">
        <v>142</v>
      </c>
      <c r="E248" s="14" t="s">
        <v>170</v>
      </c>
      <c r="F248" s="15">
        <v>11787</v>
      </c>
      <c r="G248" s="15">
        <v>4.0714032835314686</v>
      </c>
      <c r="H248" s="15">
        <v>9607.6808000000001</v>
      </c>
      <c r="I248" s="15">
        <v>1404.7565</v>
      </c>
      <c r="J248" s="16">
        <v>0</v>
      </c>
      <c r="K248" s="16">
        <v>1</v>
      </c>
      <c r="L248" s="17">
        <v>0.11476615876187622</v>
      </c>
      <c r="M248" s="18">
        <v>140</v>
      </c>
      <c r="N248" s="18">
        <v>57</v>
      </c>
      <c r="O248" s="18">
        <v>0.96189676706046146</v>
      </c>
      <c r="P248" s="18">
        <v>3</v>
      </c>
      <c r="Q248" s="18">
        <f t="shared" si="103"/>
        <v>2.6666666666666665</v>
      </c>
      <c r="R248" s="18">
        <v>140</v>
      </c>
      <c r="S248" s="18">
        <v>5</v>
      </c>
      <c r="T248" s="19">
        <v>27431.659</v>
      </c>
      <c r="U248" s="19">
        <v>4.4382520734724897</v>
      </c>
      <c r="V248" s="20">
        <v>70346</v>
      </c>
      <c r="W248" s="20">
        <v>4.8472394077079901</v>
      </c>
      <c r="X248" s="20">
        <v>0.52727995022973773</v>
      </c>
      <c r="Y248" s="20">
        <v>0.41927331800000001</v>
      </c>
      <c r="Z248" s="20">
        <f t="shared" si="86"/>
        <v>-0.37750277464407289</v>
      </c>
      <c r="AA248" s="20"/>
      <c r="AB248" s="20"/>
      <c r="AC248" s="20">
        <v>26635.4938</v>
      </c>
      <c r="AD248" s="21">
        <v>11024.266900000001</v>
      </c>
      <c r="AE248" s="21">
        <f t="shared" si="94"/>
        <v>0.10733967636198329</v>
      </c>
      <c r="AF248" s="21">
        <f t="shared" si="95"/>
        <v>4.0423497190586586</v>
      </c>
      <c r="AG248" s="22">
        <v>8.8467406338373411E-2</v>
      </c>
      <c r="AH248" s="22">
        <v>9086</v>
      </c>
      <c r="AI248" s="22">
        <v>3.1576421429999999</v>
      </c>
      <c r="AJ248" s="23">
        <v>133413</v>
      </c>
      <c r="AK248" s="23">
        <f t="shared" si="93"/>
        <v>5.1251981500691812</v>
      </c>
      <c r="AL248" s="24">
        <v>0.63889047899999996</v>
      </c>
      <c r="AM248" s="22">
        <v>54543</v>
      </c>
      <c r="AN248" s="22">
        <v>0.43499724851858645</v>
      </c>
      <c r="AO248" s="23">
        <v>0.19611209675880883</v>
      </c>
      <c r="AP248" s="33">
        <v>7.1126720000000004E-2</v>
      </c>
      <c r="AQ248" s="23">
        <v>0.8520327817226625</v>
      </c>
      <c r="AR248" s="22">
        <v>102704.49170000001</v>
      </c>
      <c r="AS248" s="23">
        <v>5.0115894375395094</v>
      </c>
      <c r="AT248" s="23">
        <v>4.9643894926505627</v>
      </c>
      <c r="AU248" s="22">
        <v>0.36499999999999999</v>
      </c>
      <c r="AV248" s="22">
        <v>0.23539123849999999</v>
      </c>
      <c r="AW248" s="22">
        <v>183.23267000000001</v>
      </c>
      <c r="AX248" s="24">
        <v>141.56180000000001</v>
      </c>
      <c r="AY248" s="22">
        <v>3</v>
      </c>
      <c r="AZ248" s="24">
        <v>42936.402900000001</v>
      </c>
      <c r="BA248" s="24">
        <f t="shared" si="87"/>
        <v>4.6328256575637239</v>
      </c>
      <c r="BB248" s="24">
        <v>14207.289500000001</v>
      </c>
      <c r="BC248" s="24">
        <f t="shared" si="88"/>
        <v>4.1525112301107017</v>
      </c>
      <c r="BD248" s="24">
        <v>28729.113400000002</v>
      </c>
      <c r="BE248" s="23">
        <v>8420.348</v>
      </c>
      <c r="BF248" s="23">
        <f t="shared" si="104"/>
        <v>819.98779999999476</v>
      </c>
      <c r="BG248" s="23">
        <v>0.24187102171556238</v>
      </c>
      <c r="BH248" s="23">
        <v>8.1986170815156259E-2</v>
      </c>
      <c r="BI248" s="23">
        <v>7.3597668192690924E-2</v>
      </c>
      <c r="BJ248" s="23">
        <v>2.1562568708599111E-2</v>
      </c>
      <c r="BK248" s="23">
        <v>0.11397783147834034</v>
      </c>
      <c r="BL248" s="23">
        <v>6780.3724000000002</v>
      </c>
      <c r="BM248" s="22">
        <v>11383.0327</v>
      </c>
      <c r="BN248" s="22">
        <f>STDEVP(BM247:BM248)</f>
        <v>884.98244999999952</v>
      </c>
      <c r="BO248" s="22">
        <v>4.056257983448238</v>
      </c>
      <c r="BP248" s="22">
        <v>0.26511379461645584</v>
      </c>
      <c r="BQ248" s="22">
        <v>6.1026834476020642E-3</v>
      </c>
      <c r="BR248" s="22">
        <v>1.2270333690337365E-3</v>
      </c>
      <c r="BS248" s="22">
        <v>721.62710000000004</v>
      </c>
      <c r="BT248" s="22">
        <v>2.8583128343446713</v>
      </c>
      <c r="BU248" s="22">
        <v>7.0262467400926728E-3</v>
      </c>
      <c r="BV248" s="23">
        <v>5951.5806000000002</v>
      </c>
      <c r="BW248" s="22">
        <v>16676.0569</v>
      </c>
      <c r="BX248" s="22">
        <v>74.951260000000005</v>
      </c>
      <c r="BY248" s="22">
        <v>1.8747789381375686</v>
      </c>
      <c r="BZ248" s="25">
        <v>0.2897405488300126</v>
      </c>
      <c r="CA248" s="23">
        <v>3.2641408938449919E-2</v>
      </c>
      <c r="CB248" s="23">
        <v>3.2641408938449921</v>
      </c>
      <c r="CC248" s="23">
        <v>0.51376889643562274</v>
      </c>
      <c r="CD248" s="23">
        <v>1.9843653201058572E-2</v>
      </c>
      <c r="CE248" s="23">
        <v>3.359649E-2</v>
      </c>
      <c r="CF248" s="23">
        <v>1.3464005702066999</v>
      </c>
      <c r="CG248" s="23">
        <f t="shared" si="89"/>
        <v>0.29743478739904861</v>
      </c>
      <c r="CH248" s="26">
        <v>19.2</v>
      </c>
      <c r="CI248" s="26">
        <v>13.72</v>
      </c>
      <c r="CJ248" s="26">
        <v>1.2833012287035497</v>
      </c>
      <c r="CK248" s="26">
        <v>1.1373541113707328</v>
      </c>
      <c r="CL248" s="26">
        <v>0.39941690962099113</v>
      </c>
      <c r="CM248" s="27">
        <v>14.883180076628348</v>
      </c>
      <c r="CN248" s="27">
        <v>3.3086241186042575E-3</v>
      </c>
      <c r="CO248" s="27">
        <v>6.9159523810000003</v>
      </c>
      <c r="CP248" s="27">
        <v>-0.1692430893755319</v>
      </c>
      <c r="CQ248" s="27">
        <v>64.583076923076902</v>
      </c>
      <c r="CR248" s="27">
        <v>-0.11568237115682381</v>
      </c>
      <c r="CS248" s="27">
        <v>0.66574712643678124</v>
      </c>
      <c r="CT248" s="27">
        <v>0.8023754789272034</v>
      </c>
      <c r="CU248" s="27">
        <v>-0.1702798204564997</v>
      </c>
      <c r="CV248" s="27">
        <v>0.67685823754789287</v>
      </c>
      <c r="CW248" s="27">
        <v>1.8304977187626064</v>
      </c>
      <c r="CX248" s="36">
        <v>1.33</v>
      </c>
      <c r="CY248" s="28">
        <v>0.62</v>
      </c>
      <c r="CZ248" s="29">
        <v>18.278045980000002</v>
      </c>
      <c r="DA248" s="27">
        <v>-1.5457736807420394E-2</v>
      </c>
      <c r="DD248" s="27">
        <v>1</v>
      </c>
      <c r="DF248" s="27">
        <v>99.5</v>
      </c>
      <c r="DG248" s="28">
        <v>4.6001576441645469</v>
      </c>
      <c r="DH248" s="28">
        <v>0.98709899999999995</v>
      </c>
      <c r="DI248" s="27">
        <v>1.6</v>
      </c>
      <c r="DK248" s="27">
        <v>1</v>
      </c>
      <c r="DL248" s="27">
        <v>2.4593025325147688E-2</v>
      </c>
      <c r="DM248" s="28">
        <v>0.99350000000000005</v>
      </c>
      <c r="DN248" s="28">
        <v>0.88919999999999999</v>
      </c>
      <c r="DO248" s="28">
        <v>-2.8515240904621448E-2</v>
      </c>
      <c r="DP248" s="28">
        <v>0.11729644624381473</v>
      </c>
      <c r="DQ248" s="27">
        <v>0.12260000000000004</v>
      </c>
      <c r="DR248" s="27">
        <v>3.2641409000000003E-2</v>
      </c>
      <c r="DS248" s="27">
        <v>1.9843653201058572E-2</v>
      </c>
      <c r="DT248" s="27">
        <v>3.359649E-2</v>
      </c>
      <c r="DU248" s="30">
        <v>6.1553740000000001</v>
      </c>
      <c r="DV248">
        <v>1.6</v>
      </c>
      <c r="DW248">
        <v>2.2999999999999998</v>
      </c>
      <c r="DX248">
        <v>107</v>
      </c>
      <c r="DY248">
        <v>107.5</v>
      </c>
      <c r="DZ248">
        <v>0.4</v>
      </c>
      <c r="EA248">
        <v>1.1000000000000001</v>
      </c>
      <c r="EB248">
        <v>1.4054869999999999</v>
      </c>
    </row>
    <row r="249" spans="1:132" ht="16">
      <c r="AA249" s="20"/>
    </row>
    <row r="250" spans="1:132" ht="16">
      <c r="AA250" s="20"/>
    </row>
    <row r="251" spans="1:132" ht="16">
      <c r="AA251" s="20"/>
    </row>
    <row r="252" spans="1:132" ht="18">
      <c r="AA252" s="20"/>
      <c r="AD252" s="39"/>
      <c r="AE252" s="39"/>
      <c r="AF252" s="39"/>
      <c r="AG252" s="24"/>
      <c r="AH252" s="24"/>
      <c r="AI252" s="24"/>
      <c r="AO252" s="39"/>
      <c r="AP252" s="39"/>
      <c r="AQ252" s="39"/>
      <c r="AR252" s="24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9"/>
      <c r="BQ252" s="39"/>
      <c r="BR252" s="39"/>
      <c r="BS252" s="39"/>
      <c r="BT252" s="39"/>
      <c r="BU252" s="39"/>
    </row>
    <row r="253" spans="1:132" ht="16">
      <c r="AA253" s="20"/>
    </row>
    <row r="254" spans="1:132" ht="16">
      <c r="AA254" s="20"/>
    </row>
    <row r="257" spans="12:107" customFormat="1">
      <c r="L257" s="17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G257" s="23"/>
      <c r="AH257" s="23"/>
      <c r="AI257" s="23"/>
      <c r="AJ257" s="23"/>
      <c r="AK257" s="23"/>
      <c r="AL257" s="23"/>
      <c r="AM257" s="23"/>
      <c r="AN257" s="23"/>
      <c r="AR257" s="23"/>
      <c r="BB257" s="23"/>
      <c r="BC257" s="23"/>
      <c r="BD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38"/>
      <c r="CA257" s="23"/>
      <c r="CB257" s="23"/>
      <c r="CC257" s="23"/>
      <c r="CD257" s="23"/>
      <c r="CE257" s="23"/>
      <c r="CF257" s="23"/>
      <c r="CG257" s="23"/>
      <c r="CH257" s="27"/>
      <c r="CI257" s="27"/>
      <c r="CJ257" s="27"/>
      <c r="CK257" s="27"/>
      <c r="CL257" s="27"/>
      <c r="CM257" s="27"/>
      <c r="CN257" s="27"/>
      <c r="CO257" s="27"/>
      <c r="CP257" s="27"/>
      <c r="CQ257" s="27"/>
      <c r="CR257" s="27"/>
      <c r="CS257" s="27"/>
      <c r="CT257" s="27"/>
      <c r="CU257" s="27"/>
      <c r="CV257" s="27"/>
      <c r="CW257" s="27"/>
      <c r="CX257" s="27"/>
      <c r="CY257" s="27"/>
      <c r="CZ257" s="27"/>
      <c r="DA257" s="27"/>
      <c r="DB257" s="27"/>
      <c r="DC257" s="27"/>
    </row>
    <row r="258" spans="12:107" customFormat="1">
      <c r="L258" s="17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35"/>
      <c r="AE258" s="35"/>
      <c r="AF258" s="35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38"/>
      <c r="CA258" s="23"/>
      <c r="CB258" s="23"/>
      <c r="CC258" s="23"/>
      <c r="CD258" s="23"/>
      <c r="CE258" s="23"/>
      <c r="CF258" s="23"/>
      <c r="CG258" s="23"/>
      <c r="CH258" s="27"/>
      <c r="CI258" s="27"/>
      <c r="CJ258" s="27"/>
      <c r="CK258" s="27"/>
      <c r="CL258" s="27"/>
      <c r="CM258" s="27"/>
      <c r="CN258" s="27"/>
      <c r="CO258" s="27"/>
      <c r="CP258" s="27"/>
      <c r="CQ258" s="27"/>
      <c r="CR258" s="27"/>
      <c r="CS258" s="27"/>
      <c r="CT258" s="27"/>
      <c r="CU258" s="27"/>
      <c r="CV258" s="27"/>
      <c r="CW258" s="27"/>
      <c r="CX258" s="27"/>
      <c r="CY258" s="27"/>
      <c r="CZ258" s="27"/>
      <c r="DA258" s="27"/>
      <c r="DB258" s="27"/>
      <c r="DC258" s="27"/>
    </row>
    <row r="259" spans="12:107" customFormat="1">
      <c r="L259" s="17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35"/>
      <c r="AE259" s="35"/>
      <c r="AF259" s="35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38"/>
      <c r="CA259" s="23"/>
      <c r="CB259" s="23"/>
      <c r="CC259" s="23"/>
      <c r="CD259" s="23"/>
      <c r="CE259" s="23"/>
      <c r="CF259" s="23"/>
      <c r="CG259" s="23"/>
      <c r="CH259" s="27"/>
      <c r="CI259" s="27"/>
      <c r="CJ259" s="27"/>
      <c r="CK259" s="27"/>
      <c r="CL259" s="27"/>
      <c r="CM259" s="27"/>
      <c r="CN259" s="27"/>
      <c r="CO259" s="27"/>
      <c r="CP259" s="27"/>
      <c r="CQ259" s="27"/>
      <c r="CR259" s="27"/>
      <c r="CS259" s="27"/>
      <c r="CT259" s="27"/>
      <c r="CU259" s="27"/>
      <c r="CV259" s="27"/>
      <c r="CW259" s="27"/>
      <c r="CX259" s="27"/>
      <c r="CY259" s="27"/>
      <c r="CZ259" s="27"/>
      <c r="DA259" s="27"/>
      <c r="DB259" s="27"/>
      <c r="DC259" s="27"/>
    </row>
    <row r="260" spans="12:107" customFormat="1">
      <c r="L260" s="17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35"/>
      <c r="AE260" s="35"/>
      <c r="AF260" s="35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38"/>
      <c r="CA260" s="23"/>
      <c r="CB260" s="23"/>
      <c r="CC260" s="23"/>
      <c r="CD260" s="23"/>
      <c r="CE260" s="23"/>
      <c r="CF260" s="23"/>
      <c r="CG260" s="23"/>
      <c r="CH260" s="27"/>
      <c r="CI260" s="27"/>
      <c r="CJ260" s="27"/>
      <c r="CK260" s="27"/>
      <c r="CL260" s="27"/>
      <c r="CM260" s="27"/>
      <c r="CN260" s="27"/>
      <c r="CO260" s="27"/>
      <c r="CP260" s="27"/>
      <c r="CQ260" s="27"/>
      <c r="CR260" s="27"/>
      <c r="CS260" s="27"/>
      <c r="CT260" s="27"/>
      <c r="CU260" s="27"/>
      <c r="CV260" s="27"/>
      <c r="CW260" s="27"/>
      <c r="CX260" s="27"/>
      <c r="CY260" s="27"/>
      <c r="CZ260" s="27"/>
      <c r="DA260" s="27"/>
      <c r="DB260" s="27"/>
      <c r="DC260" s="27"/>
    </row>
    <row r="261" spans="12:107" customFormat="1">
      <c r="L261" s="17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35"/>
      <c r="AE261" s="35"/>
      <c r="AF261" s="35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38"/>
      <c r="CA261" s="23"/>
      <c r="CB261" s="23"/>
      <c r="CC261" s="23"/>
      <c r="CD261" s="23"/>
      <c r="CE261" s="23"/>
      <c r="CF261" s="23"/>
      <c r="CG261" s="23"/>
      <c r="CH261" s="27"/>
      <c r="CI261" s="27"/>
      <c r="CJ261" s="27"/>
      <c r="CK261" s="27"/>
      <c r="CL261" s="27"/>
      <c r="CM261" s="27"/>
      <c r="CN261" s="27"/>
      <c r="CO261" s="27"/>
      <c r="CP261" s="27"/>
      <c r="CQ261" s="27"/>
      <c r="CR261" s="27"/>
      <c r="CS261" s="27"/>
      <c r="CT261" s="27"/>
      <c r="CU261" s="27"/>
      <c r="CV261" s="27"/>
      <c r="CW261" s="27"/>
      <c r="CX261" s="27"/>
      <c r="CY261" s="27"/>
      <c r="CZ261" s="27"/>
      <c r="DA261" s="27"/>
      <c r="DB261" s="27"/>
      <c r="DC261" s="27"/>
    </row>
    <row r="262" spans="12:107" customFormat="1">
      <c r="L262" s="17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35"/>
      <c r="AE262" s="35"/>
      <c r="AF262" s="35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38"/>
      <c r="CA262" s="23"/>
      <c r="CB262" s="23"/>
      <c r="CC262" s="23"/>
      <c r="CD262" s="23"/>
      <c r="CE262" s="23"/>
      <c r="CF262" s="23"/>
      <c r="CG262" s="23"/>
      <c r="CH262" s="27"/>
      <c r="CI262" s="27"/>
      <c r="CJ262" s="27"/>
      <c r="CK262" s="27"/>
      <c r="CL262" s="27"/>
      <c r="CM262" s="27"/>
      <c r="CN262" s="27"/>
      <c r="CO262" s="27"/>
      <c r="CP262" s="27"/>
      <c r="CQ262" s="27"/>
      <c r="CR262" s="27"/>
      <c r="CS262" s="27"/>
      <c r="CT262" s="27"/>
      <c r="CU262" s="27"/>
      <c r="CV262" s="27"/>
      <c r="CW262" s="27"/>
      <c r="CX262" s="27"/>
      <c r="CY262" s="27"/>
      <c r="CZ262" s="27"/>
      <c r="DA262" s="27"/>
      <c r="DB262" s="27"/>
      <c r="DC262" s="27"/>
    </row>
    <row r="263" spans="12:107" customFormat="1">
      <c r="L263" s="17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35"/>
      <c r="AE263" s="35"/>
      <c r="AF263" s="35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38"/>
      <c r="CA263" s="23"/>
      <c r="CB263" s="23"/>
      <c r="CC263" s="23"/>
      <c r="CD263" s="23"/>
      <c r="CE263" s="23"/>
      <c r="CF263" s="23"/>
      <c r="CG263" s="23"/>
      <c r="CH263" s="27"/>
      <c r="CI263" s="27"/>
      <c r="CJ263" s="27"/>
      <c r="CK263" s="27"/>
      <c r="CL263" s="27"/>
      <c r="CM263" s="27"/>
      <c r="CN263" s="27"/>
      <c r="CO263" s="27"/>
      <c r="CP263" s="27"/>
      <c r="CQ263" s="27"/>
      <c r="CR263" s="27"/>
      <c r="CS263" s="27"/>
      <c r="CT263" s="27"/>
      <c r="CU263" s="27"/>
      <c r="CV263" s="27"/>
      <c r="CW263" s="27"/>
      <c r="CX263" s="27"/>
      <c r="CY263" s="27"/>
      <c r="CZ263" s="27"/>
      <c r="DA263" s="27"/>
      <c r="DB263" s="27"/>
      <c r="DC263" s="27"/>
    </row>
    <row r="264" spans="12:107" customFormat="1">
      <c r="L264" s="17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35"/>
      <c r="AE264" s="35"/>
      <c r="AF264" s="35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38"/>
      <c r="CA264" s="23"/>
      <c r="CB264" s="23"/>
      <c r="CC264" s="23"/>
      <c r="CD264" s="23"/>
      <c r="CE264" s="23"/>
      <c r="CF264" s="23"/>
      <c r="CG264" s="23"/>
      <c r="CH264" s="27"/>
      <c r="CI264" s="27"/>
      <c r="CJ264" s="27"/>
      <c r="CK264" s="27"/>
      <c r="CL264" s="27"/>
      <c r="CM264" s="27"/>
      <c r="CN264" s="27"/>
      <c r="CO264" s="27"/>
      <c r="CP264" s="27"/>
      <c r="CQ264" s="27"/>
      <c r="CR264" s="27"/>
      <c r="CS264" s="27"/>
      <c r="CT264" s="27"/>
      <c r="CU264" s="27"/>
      <c r="CV264" s="27"/>
      <c r="CW264" s="27"/>
      <c r="CX264" s="27"/>
      <c r="CY264" s="27"/>
      <c r="CZ264" s="27"/>
      <c r="DA264" s="27"/>
      <c r="DB264" s="27"/>
      <c r="DC264" s="27"/>
    </row>
    <row r="265" spans="12:107" customFormat="1" ht="18">
      <c r="L265" s="15"/>
      <c r="M265" s="18"/>
      <c r="N265" s="18"/>
      <c r="O265" s="18"/>
      <c r="P265" s="19"/>
      <c r="Q265" s="19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35"/>
      <c r="AE265" s="35"/>
      <c r="AF265" s="35"/>
      <c r="AG265" s="23"/>
      <c r="AH265" s="23"/>
      <c r="AI265" s="23"/>
      <c r="AJ265" s="24"/>
      <c r="AK265" s="24"/>
      <c r="AL265" s="23"/>
      <c r="AM265" s="23"/>
      <c r="AN265" s="23"/>
      <c r="AO265" s="24"/>
      <c r="AP265" s="24"/>
      <c r="AQ265" s="24"/>
      <c r="AR265" s="23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40"/>
      <c r="CA265" s="23"/>
      <c r="CB265" s="23"/>
      <c r="CC265" s="23"/>
      <c r="CD265" s="23"/>
      <c r="CE265" s="23"/>
      <c r="CF265" s="23"/>
      <c r="CG265" s="23"/>
      <c r="CH265" s="41"/>
      <c r="CI265" s="41"/>
      <c r="CJ265" s="41"/>
      <c r="CK265" s="41"/>
      <c r="CL265" s="41"/>
      <c r="CM265" s="41"/>
      <c r="CN265" s="41"/>
      <c r="CO265" s="41"/>
      <c r="CP265" s="41"/>
      <c r="CQ265" s="41"/>
      <c r="CR265" s="41"/>
      <c r="CS265" s="41"/>
      <c r="CT265" s="41"/>
      <c r="CU265" s="41"/>
      <c r="CV265" s="41"/>
      <c r="CW265" s="41"/>
      <c r="CX265" s="41"/>
      <c r="CY265" s="41"/>
      <c r="CZ265" s="41"/>
      <c r="DA265" s="41"/>
      <c r="DB265" s="41"/>
      <c r="DC265" s="41"/>
    </row>
    <row r="266" spans="12:107" customFormat="1">
      <c r="L266" s="17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35"/>
      <c r="AE266" s="35"/>
      <c r="AF266" s="35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38"/>
      <c r="CA266" s="23"/>
      <c r="CB266" s="23"/>
      <c r="CC266" s="23"/>
      <c r="CD266" s="23"/>
      <c r="CE266" s="23"/>
      <c r="CF266" s="23"/>
      <c r="CG266" s="23"/>
      <c r="CH266" s="27"/>
      <c r="CI266" s="27"/>
      <c r="CJ266" s="27"/>
      <c r="CK266" s="27"/>
      <c r="CL266" s="27"/>
      <c r="CM266" s="27"/>
      <c r="CN266" s="27"/>
      <c r="CO266" s="27"/>
      <c r="CP266" s="27"/>
      <c r="CQ266" s="27"/>
      <c r="CR266" s="27"/>
      <c r="CS266" s="27"/>
      <c r="CT266" s="27"/>
      <c r="CU266" s="27"/>
      <c r="CV266" s="27"/>
      <c r="CW266" s="27"/>
      <c r="CX266" s="27"/>
      <c r="CY266" s="27"/>
      <c r="CZ266" s="27"/>
      <c r="DA266" s="27"/>
      <c r="DB266" s="27"/>
      <c r="DC266" s="27"/>
    </row>
    <row r="267" spans="12:107" customFormat="1">
      <c r="L267" s="17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35"/>
      <c r="AE267" s="35"/>
      <c r="AF267" s="35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38"/>
      <c r="CA267" s="23"/>
      <c r="CB267" s="23"/>
      <c r="CC267" s="23"/>
      <c r="CD267" s="23"/>
      <c r="CE267" s="23"/>
      <c r="CF267" s="23"/>
      <c r="CG267" s="23"/>
      <c r="CH267" s="27"/>
      <c r="CI267" s="27"/>
      <c r="CJ267" s="27"/>
      <c r="CK267" s="27"/>
      <c r="CL267" s="27"/>
      <c r="CM267" s="27"/>
      <c r="CN267" s="27"/>
      <c r="CO267" s="27"/>
      <c r="CP267" s="27"/>
      <c r="CQ267" s="27"/>
      <c r="CR267" s="27"/>
      <c r="CS267" s="27"/>
      <c r="CT267" s="27"/>
      <c r="CU267" s="27"/>
      <c r="CV267" s="27"/>
      <c r="CW267" s="27"/>
      <c r="CX267" s="27"/>
      <c r="CY267" s="27"/>
      <c r="CZ267" s="27"/>
      <c r="DA267" s="27"/>
      <c r="DB267" s="27"/>
      <c r="DC267" s="27"/>
    </row>
    <row r="268" spans="12:107" customFormat="1">
      <c r="L268" s="17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35"/>
      <c r="AE268" s="35"/>
      <c r="AF268" s="35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38"/>
      <c r="CA268" s="23"/>
      <c r="CB268" s="23"/>
      <c r="CC268" s="23"/>
      <c r="CD268" s="23"/>
      <c r="CE268" s="23"/>
      <c r="CF268" s="23"/>
      <c r="CG268" s="23"/>
      <c r="CH268" s="27"/>
      <c r="CI268" s="27"/>
      <c r="CJ268" s="27"/>
      <c r="CK268" s="27"/>
      <c r="CL268" s="27"/>
      <c r="CM268" s="27"/>
      <c r="CN268" s="27"/>
      <c r="CO268" s="27"/>
      <c r="CP268" s="27"/>
      <c r="CQ268" s="27"/>
      <c r="CR268" s="27"/>
      <c r="CS268" s="27"/>
      <c r="CT268" s="27"/>
      <c r="CU268" s="27"/>
      <c r="CV268" s="27"/>
      <c r="CW268" s="27"/>
      <c r="CX268" s="27"/>
      <c r="CY268" s="27"/>
      <c r="CZ268" s="27"/>
      <c r="DA268" s="27"/>
      <c r="DB268" s="27"/>
      <c r="DC268" s="27"/>
    </row>
    <row r="269" spans="12:107" customFormat="1">
      <c r="L269" s="17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35"/>
      <c r="AE269" s="35"/>
      <c r="AF269" s="35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38"/>
      <c r="CA269" s="23"/>
      <c r="CB269" s="23"/>
      <c r="CC269" s="23"/>
      <c r="CD269" s="23"/>
      <c r="CE269" s="23"/>
      <c r="CF269" s="23"/>
      <c r="CG269" s="23"/>
      <c r="CH269" s="27"/>
      <c r="CI269" s="27"/>
      <c r="CJ269" s="27"/>
      <c r="CK269" s="27"/>
      <c r="CL269" s="27"/>
      <c r="CM269" s="27"/>
      <c r="CN269" s="27"/>
      <c r="CO269" s="27"/>
      <c r="CP269" s="27"/>
      <c r="CQ269" s="27"/>
      <c r="CR269" s="27"/>
      <c r="CS269" s="27"/>
      <c r="CT269" s="27"/>
      <c r="CU269" s="27"/>
      <c r="CV269" s="27"/>
      <c r="CW269" s="27"/>
      <c r="CX269" s="27"/>
      <c r="CY269" s="27"/>
      <c r="CZ269" s="27"/>
      <c r="DA269" s="27"/>
      <c r="DB269" s="27"/>
      <c r="DC269" s="27"/>
    </row>
    <row r="270" spans="12:107" customFormat="1">
      <c r="L270" s="17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35"/>
      <c r="AE270" s="35"/>
      <c r="AF270" s="35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38"/>
      <c r="CA270" s="23"/>
      <c r="CB270" s="23"/>
      <c r="CC270" s="23"/>
      <c r="CD270" s="23"/>
      <c r="CE270" s="23"/>
      <c r="CF270" s="23"/>
      <c r="CG270" s="23"/>
      <c r="CH270" s="27"/>
      <c r="CI270" s="27"/>
      <c r="CJ270" s="27"/>
      <c r="CK270" s="27"/>
      <c r="CL270" s="27"/>
      <c r="CM270" s="27"/>
      <c r="CN270" s="27"/>
      <c r="CO270" s="27"/>
      <c r="CP270" s="27"/>
      <c r="CQ270" s="27"/>
      <c r="CR270" s="27"/>
      <c r="CS270" s="27"/>
      <c r="CT270" s="27"/>
      <c r="CU270" s="27"/>
      <c r="CV270" s="27"/>
      <c r="CW270" s="27"/>
      <c r="CX270" s="27"/>
      <c r="CY270" s="27"/>
      <c r="CZ270" s="27"/>
      <c r="DA270" s="27"/>
      <c r="DB270" s="27"/>
      <c r="DC270" s="2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marie-laure léonard</dc:creator>
  <cp:lastModifiedBy>marie-laure léonard</cp:lastModifiedBy>
  <dcterms:created xsi:type="dcterms:W3CDTF">2015-08-04T17:35:23Z</dcterms:created>
  <dcterms:modified xsi:type="dcterms:W3CDTF">2015-08-04T17:35:44Z</dcterms:modified>
</cp:coreProperties>
</file>